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yanasouza\Desktop\Reforma\PLANILHAS R07\22-17-A11 - PLANILHAS\"/>
    </mc:Choice>
  </mc:AlternateContent>
  <bookViews>
    <workbookView xWindow="-28920" yWindow="-15" windowWidth="29040" windowHeight="15840"/>
  </bookViews>
  <sheets>
    <sheet name="DEMOLICOES" sheetId="1" r:id="rId1"/>
    <sheet name="TAPUMES " sheetId="2" r:id="rId2"/>
    <sheet name="PISOS E FORROS" sheetId="3" r:id="rId3"/>
    <sheet name="IMPERMEABILIZAÇÃO" sheetId="7" r:id="rId4"/>
    <sheet name="FECHAMENTOS" sheetId="4" r:id="rId5"/>
    <sheet name="PINTURA" sheetId="5" r:id="rId6"/>
    <sheet name="ESQUADRIAS" sheetId="9" r:id="rId7"/>
    <sheet name="CLIMATIZAÇÃO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6" i="5" l="1"/>
  <c r="P66" i="5"/>
  <c r="R66" i="5" s="1"/>
  <c r="Q65" i="5"/>
  <c r="P65" i="5"/>
  <c r="R65" i="5" s="1"/>
  <c r="R56" i="5"/>
  <c r="R57" i="5"/>
  <c r="R59" i="5"/>
  <c r="R62" i="5"/>
  <c r="R53" i="5"/>
  <c r="N49" i="5"/>
  <c r="N48" i="5"/>
  <c r="Q64" i="5"/>
  <c r="Q63" i="5"/>
  <c r="P63" i="5"/>
  <c r="R63" i="5" s="1"/>
  <c r="Q61" i="5"/>
  <c r="Q62" i="5"/>
  <c r="P62" i="5"/>
  <c r="Q57" i="5"/>
  <c r="Q56" i="5"/>
  <c r="Q58" i="5"/>
  <c r="Q59" i="5"/>
  <c r="Q60" i="5"/>
  <c r="P59" i="5"/>
  <c r="P53" i="5"/>
  <c r="P54" i="5"/>
  <c r="R54" i="5" s="1"/>
  <c r="P55" i="5"/>
  <c r="R55" i="5" s="1"/>
  <c r="Q55" i="5"/>
  <c r="Q54" i="5"/>
  <c r="Q53" i="5"/>
  <c r="P56" i="5"/>
  <c r="P57" i="5"/>
  <c r="P58" i="5"/>
  <c r="R58" i="5" s="1"/>
  <c r="P60" i="5"/>
  <c r="R60" i="5" s="1"/>
  <c r="P61" i="5"/>
  <c r="R61" i="5" s="1"/>
  <c r="P64" i="5"/>
  <c r="R64" i="5" s="1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" i="5" s="1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N3" i="5"/>
  <c r="N2" i="5"/>
  <c r="R67" i="5" l="1"/>
  <c r="G29" i="3"/>
  <c r="H7" i="3"/>
  <c r="H5" i="3"/>
  <c r="H4" i="3"/>
  <c r="H13" i="3" s="1"/>
  <c r="H3" i="3"/>
  <c r="H12" i="3" s="1"/>
  <c r="H2" i="3"/>
  <c r="H8" i="3" s="1"/>
  <c r="G13" i="3"/>
  <c r="G10" i="3"/>
  <c r="G30" i="3" s="1"/>
  <c r="G4" i="3"/>
  <c r="G31" i="3"/>
  <c r="B129" i="3"/>
  <c r="B147" i="3"/>
  <c r="H11" i="3" l="1"/>
  <c r="H9" i="3"/>
  <c r="G1" i="3" s="1"/>
  <c r="H10" i="3"/>
  <c r="G28" i="3"/>
  <c r="B68" i="3"/>
  <c r="B18" i="7"/>
  <c r="B1" i="7"/>
  <c r="B48" i="3"/>
  <c r="B102" i="3"/>
  <c r="B15" i="1"/>
  <c r="B16" i="1"/>
  <c r="B20" i="1"/>
  <c r="B19" i="1"/>
  <c r="B18" i="1"/>
  <c r="B17" i="1"/>
  <c r="B14" i="1" l="1"/>
  <c r="B166" i="5"/>
  <c r="B112" i="5"/>
  <c r="B43" i="5"/>
  <c r="M27" i="9"/>
  <c r="M26" i="9"/>
  <c r="F26" i="9"/>
  <c r="M25" i="9"/>
  <c r="F25" i="9"/>
  <c r="M24" i="9"/>
  <c r="F22" i="9"/>
  <c r="M21" i="9"/>
  <c r="F21" i="9"/>
  <c r="M20" i="9"/>
  <c r="F20" i="9"/>
  <c r="M19" i="9"/>
  <c r="F19" i="9"/>
  <c r="M18" i="9"/>
  <c r="F18" i="9"/>
  <c r="M17" i="9"/>
  <c r="F17" i="9"/>
  <c r="M16" i="9"/>
  <c r="F16" i="9"/>
  <c r="M15" i="9"/>
  <c r="F15" i="9"/>
  <c r="M12" i="9"/>
  <c r="F12" i="9"/>
  <c r="M11" i="9"/>
  <c r="F11" i="9"/>
  <c r="M10" i="9"/>
  <c r="F10" i="9"/>
  <c r="M9" i="9"/>
  <c r="F9" i="9"/>
  <c r="M8" i="9"/>
  <c r="F8" i="9"/>
  <c r="M7" i="9"/>
  <c r="F7" i="9"/>
  <c r="M6" i="9"/>
  <c r="F6" i="9"/>
  <c r="M5" i="9"/>
  <c r="F5" i="9"/>
  <c r="M4" i="9"/>
  <c r="F4" i="9"/>
  <c r="E291" i="5" l="1"/>
  <c r="B7" i="2"/>
  <c r="B5" i="2"/>
  <c r="B3" i="2"/>
  <c r="B2" i="2" s="1"/>
  <c r="E20" i="8"/>
  <c r="E44" i="8"/>
  <c r="E50" i="8"/>
  <c r="D53" i="8"/>
  <c r="E53" i="8" s="1"/>
  <c r="D52" i="8"/>
  <c r="E52" i="8" s="1"/>
  <c r="D51" i="8"/>
  <c r="E51" i="8" s="1"/>
  <c r="D50" i="8"/>
  <c r="D49" i="8"/>
  <c r="E49" i="8" s="1"/>
  <c r="D48" i="8"/>
  <c r="E48" i="8" s="1"/>
  <c r="D47" i="8"/>
  <c r="E47" i="8" s="1"/>
  <c r="D46" i="8"/>
  <c r="E46" i="8" s="1"/>
  <c r="D45" i="8"/>
  <c r="E45" i="8" s="1"/>
  <c r="D44" i="8"/>
  <c r="D43" i="8"/>
  <c r="E43" i="8" s="1"/>
  <c r="D42" i="8"/>
  <c r="E42" i="8" s="1"/>
  <c r="D41" i="8"/>
  <c r="E41" i="8" s="1"/>
  <c r="D40" i="8"/>
  <c r="E40" i="8" s="1"/>
  <c r="D39" i="8"/>
  <c r="E39" i="8" s="1"/>
  <c r="D38" i="8"/>
  <c r="E38" i="8" s="1"/>
  <c r="D37" i="8"/>
  <c r="E37" i="8" s="1"/>
  <c r="D36" i="8"/>
  <c r="E36" i="8" s="1"/>
  <c r="D34" i="8"/>
  <c r="E34" i="8" s="1"/>
  <c r="D32" i="8"/>
  <c r="E32" i="8" s="1"/>
  <c r="D31" i="8"/>
  <c r="E31" i="8" s="1"/>
  <c r="D30" i="8"/>
  <c r="E30" i="8" s="1"/>
  <c r="D29" i="8"/>
  <c r="E29" i="8" s="1"/>
  <c r="D28" i="8"/>
  <c r="E28" i="8" s="1"/>
  <c r="D27" i="8"/>
  <c r="E27" i="8" s="1"/>
  <c r="D26" i="8"/>
  <c r="E26" i="8" s="1"/>
  <c r="D25" i="8"/>
  <c r="E25" i="8" s="1"/>
  <c r="D24" i="8"/>
  <c r="E24" i="8" s="1"/>
  <c r="D23" i="8"/>
  <c r="E23" i="8" s="1"/>
  <c r="D13" i="8"/>
  <c r="E13" i="8" s="1"/>
  <c r="D12" i="8"/>
  <c r="E12" i="8" s="1"/>
  <c r="D11" i="8"/>
  <c r="E11" i="8" s="1"/>
  <c r="D9" i="8"/>
  <c r="E9" i="8" s="1"/>
  <c r="D8" i="8"/>
  <c r="E8" i="8" s="1"/>
  <c r="D35" i="8"/>
  <c r="E35" i="8" s="1"/>
  <c r="D33" i="8"/>
  <c r="E33" i="8" s="1"/>
  <c r="D22" i="8"/>
  <c r="E22" i="8" s="1"/>
  <c r="D21" i="8"/>
  <c r="E21" i="8" s="1"/>
  <c r="D20" i="8"/>
  <c r="D19" i="8"/>
  <c r="E19" i="8" s="1"/>
  <c r="D18" i="8"/>
  <c r="E18" i="8" s="1"/>
  <c r="D17" i="8"/>
  <c r="E17" i="8" s="1"/>
  <c r="D16" i="8"/>
  <c r="E16" i="8" s="1"/>
  <c r="D15" i="8"/>
  <c r="E15" i="8" s="1"/>
  <c r="D14" i="8"/>
  <c r="E14" i="8" s="1"/>
  <c r="D10" i="8"/>
  <c r="E10" i="8" s="1"/>
  <c r="D7" i="8"/>
  <c r="E7" i="8" s="1"/>
  <c r="D6" i="8"/>
  <c r="E6" i="8" s="1"/>
  <c r="D5" i="8"/>
  <c r="E5" i="8" s="1"/>
  <c r="D4" i="8"/>
  <c r="E4" i="8" s="1"/>
  <c r="D3" i="8"/>
  <c r="E3" i="8" s="1"/>
  <c r="B14" i="2"/>
  <c r="B13" i="2"/>
  <c r="B12" i="2" s="1"/>
  <c r="E54" i="8" l="1"/>
  <c r="B25" i="1"/>
  <c r="G1" i="5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8" i="3"/>
  <c r="B29" i="3"/>
  <c r="B26" i="3"/>
  <c r="B27" i="3"/>
  <c r="B20" i="3"/>
  <c r="B21" i="3"/>
  <c r="B22" i="3"/>
  <c r="B23" i="3"/>
  <c r="B24" i="3"/>
  <c r="B25" i="3"/>
  <c r="B19" i="3"/>
  <c r="B18" i="3"/>
  <c r="B17" i="3"/>
  <c r="B16" i="3"/>
  <c r="B15" i="3"/>
  <c r="B14" i="3"/>
  <c r="B13" i="3"/>
  <c r="B12" i="3"/>
  <c r="B11" i="3"/>
  <c r="B10" i="3"/>
  <c r="B9" i="3"/>
  <c r="B3" i="3"/>
  <c r="B8" i="3"/>
  <c r="B7" i="3"/>
  <c r="B6" i="3"/>
  <c r="B5" i="3"/>
  <c r="B4" i="3"/>
  <c r="B2" i="3"/>
  <c r="B3" i="4"/>
  <c r="B6" i="4"/>
  <c r="B8" i="4" s="1"/>
  <c r="B7" i="4" s="1"/>
  <c r="B4" i="4"/>
  <c r="B7" i="1"/>
  <c r="B6" i="1" s="1"/>
  <c r="B5" i="1"/>
  <c r="B4" i="1" s="1"/>
  <c r="B3" i="1"/>
  <c r="B2" i="1" s="1"/>
  <c r="B152" i="1"/>
  <c r="B107" i="1"/>
  <c r="B79" i="1"/>
  <c r="B24" i="1"/>
  <c r="B23" i="1" s="1"/>
  <c r="B11" i="1"/>
  <c r="B13" i="1"/>
  <c r="B9" i="1"/>
  <c r="B10" i="1"/>
  <c r="B12" i="1"/>
  <c r="B8" i="1" l="1"/>
  <c r="B197" i="1" s="1"/>
  <c r="B1" i="3"/>
  <c r="B2" i="4"/>
  <c r="B5" i="4"/>
  <c r="B196" i="1" l="1"/>
</calcChain>
</file>

<file path=xl/sharedStrings.xml><?xml version="1.0" encoding="utf-8"?>
<sst xmlns="http://schemas.openxmlformats.org/spreadsheetml/2006/main" count="997" uniqueCount="415">
  <si>
    <t>REMOÇÃO DE CABOS ELÉTRICOS, DE FORMA MANUAL, SEM REAPROVEITAMENTO. AF_12/2017</t>
  </si>
  <si>
    <t>REMOÇÃO DE INTERRUPTORES/TOMADAS ELÉTRICAS, DE FORMA MANUAL, SEM REAPROVEITAMENTO. AF_12/2017</t>
  </si>
  <si>
    <t>REMOÇÃO DE LUMINÁRIAS, DE FORMA MANUAL, SEM REAPROVEITAMENTO. AF_12/2017</t>
  </si>
  <si>
    <t>REMOÇÃO DE CHAPAS E PERFIS DE DRYWALL, DE FORMA MANUAL, SEM REAPROVEITAMENTO. AF_12/2017</t>
  </si>
  <si>
    <t>m²</t>
  </si>
  <si>
    <t>M</t>
  </si>
  <si>
    <t>UN</t>
  </si>
  <si>
    <t>60% dos cabos do projeto final</t>
  </si>
  <si>
    <t>60% das tomadas  do projeto final</t>
  </si>
  <si>
    <t>80% das luminarias do projeto final</t>
  </si>
  <si>
    <t>PAV 1 - PAREDE V5</t>
  </si>
  <si>
    <t>PAV 2 - PAREDE H6</t>
  </si>
  <si>
    <t>PAV 3 - PAREDE V11</t>
  </si>
  <si>
    <t>DEMOLIÇÃO DE ALVENARIA DE BLOCO FURADO, DE FORMA MANUAL, SEM REAPROVEITAMENTO.</t>
  </si>
  <si>
    <t>PAV 1 - PAREDE V2</t>
  </si>
  <si>
    <t>PAV 1 - PAREDE H11</t>
  </si>
  <si>
    <t>PAV 1 - PAREDE V12</t>
  </si>
  <si>
    <t>PAV 1 - PAREDE H12</t>
  </si>
  <si>
    <t>DEMOLIÇÃO DE PILARES E VIGAS EM CONCRETO ARMADO, DE FORMA MANUAL, SEM REAPROVEITAMENTO.</t>
  </si>
  <si>
    <t>m3</t>
  </si>
  <si>
    <t>ESCADA</t>
  </si>
  <si>
    <t>DEMOLIÇÃO DE REVESTIMENTO CERÂMICO, DE FORMA MANUAL, SEM REAPROVEITAMENTO. AF_12/2017</t>
  </si>
  <si>
    <t>TRANSPORTE VERTICAL MANUAL DE ENTULHO E BOTA FORA (UNIDADE: KG). AF_07/2019</t>
  </si>
  <si>
    <t>BOTA FORA EM CACAMBA 5M3</t>
  </si>
  <si>
    <t>KG</t>
  </si>
  <si>
    <t>PAV 1 - CAPEX E SRMA</t>
  </si>
  <si>
    <t>PAV 1 - CGP</t>
  </si>
  <si>
    <t>PAV 1 - SALA TI</t>
  </si>
  <si>
    <t>PAV 1 - BANHEIRO MASCULINO</t>
  </si>
  <si>
    <t>PAV 1 - BANHEIRO FEMININO</t>
  </si>
  <si>
    <t>PAV 1 - DML E COPA</t>
  </si>
  <si>
    <t>PAV 1 - DML</t>
  </si>
  <si>
    <t>PAV 1 - SALA REUNIÃO</t>
  </si>
  <si>
    <t>PAV 1 - CICULAÇAO HALL ENTRADAS</t>
  </si>
  <si>
    <t>PAV 1 - GABINETE SRMA</t>
  </si>
  <si>
    <t>PAV 1 - RECEPÇÃO CCAR</t>
  </si>
  <si>
    <t>PAV 1 - CCAR</t>
  </si>
  <si>
    <t>PAV 1 -  SALA ACESSORES</t>
  </si>
  <si>
    <t>PAV 1 - GAB SAGA</t>
  </si>
  <si>
    <t xml:space="preserve">PAV 1 - SALA REUNIÃO </t>
  </si>
  <si>
    <t>PAV 2 - DML</t>
  </si>
  <si>
    <t>PAV 2 - COPA E DML</t>
  </si>
  <si>
    <t>PAV 2 - SANITARIO MASCULINO</t>
  </si>
  <si>
    <t>PAV 2 - SANITARIO FEMININO</t>
  </si>
  <si>
    <t>PAV 2 - CICULAÇÃO ESCADA</t>
  </si>
  <si>
    <t>PAV 2 - GAB SUGF</t>
  </si>
  <si>
    <t>PAV 2 - ADMINISTRATIVO UGF</t>
  </si>
  <si>
    <t>PAV 2 - SALA DE REUNIAO</t>
  </si>
  <si>
    <t>PAV 2 - SALA TI E ANTE SALA TI</t>
  </si>
  <si>
    <t>PAV 3 - DML</t>
  </si>
  <si>
    <t>PAV 3 - COPA E DML</t>
  </si>
  <si>
    <t>PAV 3 - SANITARIO MASCULINO</t>
  </si>
  <si>
    <t>PAV 3 - SANITARIO FEMININO</t>
  </si>
  <si>
    <t>PAV 3 - CICULAÇÃO ESCADA</t>
  </si>
  <si>
    <t>PAV 3 - SALA ATENDIMENTO 1</t>
  </si>
  <si>
    <t>PAV 3 - SALA ATENDIMENTO 2</t>
  </si>
  <si>
    <t>PAV 3 - APIO SUIMIS</t>
  </si>
  <si>
    <t>PAV 3 - CMIN INDUSTRIA</t>
  </si>
  <si>
    <t>PAV 3 - CMIN MINERAÇÀO</t>
  </si>
  <si>
    <t>PAV 3 - CAPIA</t>
  </si>
  <si>
    <t>PAV 3 - SALA TI E ANTE SALA TI</t>
  </si>
  <si>
    <t>PAV 3 - GABINETE SUIMIS</t>
  </si>
  <si>
    <t>PAV 3 - SALA REUNIAO</t>
  </si>
  <si>
    <t>PAV 3 - ADM SUIMIS</t>
  </si>
  <si>
    <t>PAV 3 - CIRC SUIMIS</t>
  </si>
  <si>
    <t>ESCADA lance 2</t>
  </si>
  <si>
    <t>DEMOLIÇÃO DE RODAPÉ CERÂMICO, DE FORMA MANUAL, SEM REAPROVEITAMENTO.</t>
  </si>
  <si>
    <t>REMOÇÃO DE FORROS DE DRYWALL, PVC E FIBROMINERAL, DE FORMA MANUAL, SEM REAPROVEITAMENTO.</t>
  </si>
  <si>
    <t>M2</t>
  </si>
  <si>
    <t>REMOÇÃO DE TRAMA METÁLICA OU DE MADEIRA PARA FORRO, DE FORMA MANUAL, SEM REAPROVEITAMENTO.</t>
  </si>
  <si>
    <t>TAPUME COM COMPENSADO DE MADEIRA. AF_05/2018</t>
  </si>
  <si>
    <t>PAV1 - SEPARAÇÃO X</t>
  </si>
  <si>
    <t>PAV1 - SEPARAÇÃO Y</t>
  </si>
  <si>
    <t>PAV2 - SEPARAÇÃO Y</t>
  </si>
  <si>
    <t>PAV2 - SEPARAÇÃO X</t>
  </si>
  <si>
    <t>PAV3 - SEPARAÇÃO Y</t>
  </si>
  <si>
    <t>PAV3 - SEPARAÇÃO X</t>
  </si>
  <si>
    <t>M²</t>
  </si>
  <si>
    <t>REVESTIMENTO CERÂMICO PARA PISO COM PLACAS TIPO PORCELANATO DE DIMENSÕES 100X100 CM APLICADA EM AMBIENTES INTERNOS</t>
  </si>
  <si>
    <t>SOLEIRA</t>
  </si>
  <si>
    <t>PAV1 - PORTA BANHEIRO FEMININO</t>
  </si>
  <si>
    <t>PAV1 - PORTA BANHEIRO MASCULINO</t>
  </si>
  <si>
    <t>PAV1 - COPA</t>
  </si>
  <si>
    <t>PAV1 - RACK</t>
  </si>
  <si>
    <t>PAV1 -ELVADOR</t>
  </si>
  <si>
    <t>PAV1 - DML</t>
  </si>
  <si>
    <t>PAV1 -BWC</t>
  </si>
  <si>
    <t>PAV2 - PORTA BANHEIRO FEMININO</t>
  </si>
  <si>
    <t>PAV2 - PORTA BANHEIRO MASCULINO</t>
  </si>
  <si>
    <t>PAV2 - COPA</t>
  </si>
  <si>
    <t>PAV2 - DML</t>
  </si>
  <si>
    <t>PAV2 - RACK</t>
  </si>
  <si>
    <t>PAV2 -ELVADOR</t>
  </si>
  <si>
    <t>PAV3 - PORTA BANHEIRO FEMININO</t>
  </si>
  <si>
    <t>PAV3 - PORTA BANHEIRO MASCULINO</t>
  </si>
  <si>
    <t>PAV3 - COPA</t>
  </si>
  <si>
    <t>PAV3 - DML</t>
  </si>
  <si>
    <t>PAV3 - RACK</t>
  </si>
  <si>
    <t>PAV3 -ELVADOR</t>
  </si>
  <si>
    <t xml:space="preserve">	FORRO EM PLACAS DE GESSO, PARA AMBIENTES COMERCIAIS. AF_05/2017_PS</t>
  </si>
  <si>
    <t>PAREDE COM PLACAS DE GESSO ACARTONADO (DRYWALL)</t>
  </si>
  <si>
    <t>LAJE PRÉ-MOLDADA</t>
  </si>
  <si>
    <t>CONCRETAGEM</t>
  </si>
  <si>
    <t>M3</t>
  </si>
  <si>
    <t>ESCADA DEMOLIDA</t>
  </si>
  <si>
    <t>PAV 1 - PAREDE V11</t>
  </si>
  <si>
    <t>REMOÇÃO E RECOLOCAÇÃO DE PAREDES PARA COLOCAÇÃO DO PISO</t>
  </si>
  <si>
    <t>PAV 1 - PAREDE V4</t>
  </si>
  <si>
    <t>PAV 1 - PAREDE V6</t>
  </si>
  <si>
    <t>PAV 1 - PAREDE V7</t>
  </si>
  <si>
    <t>PAV 1 - PAREDE V8</t>
  </si>
  <si>
    <t>PAV 1 - PAREDE V9</t>
  </si>
  <si>
    <t>PAV 1 - PAREDE V10</t>
  </si>
  <si>
    <t>PAV 1 - PAREDE V15</t>
  </si>
  <si>
    <t>PAV 1 - PAREDE V16</t>
  </si>
  <si>
    <t>PAV 1 - PAREDE H7</t>
  </si>
  <si>
    <t>PAV 1 - PAREDE H8</t>
  </si>
  <si>
    <t>PAV 1 - PAREDE H13</t>
  </si>
  <si>
    <t>PAV 2 - PAREDE V3</t>
  </si>
  <si>
    <t>PAV 2 - PAREDE V4</t>
  </si>
  <si>
    <t>PAV 2 - PAREDE V5</t>
  </si>
  <si>
    <t>PAV 2 - PAREDE V6</t>
  </si>
  <si>
    <t>PAV 2 - PAREDE V7</t>
  </si>
  <si>
    <t>PAV 2 - PAREDE V8</t>
  </si>
  <si>
    <t>PAV 2 - PAREDE V9</t>
  </si>
  <si>
    <t>PAV 2 - PAREDE V10</t>
  </si>
  <si>
    <t>PAV 2 - PAREDE V11</t>
  </si>
  <si>
    <t>PAV 2 - PAREDE V12</t>
  </si>
  <si>
    <t>PAV 2 - PAREDE V17</t>
  </si>
  <si>
    <t>PAV 2 - PAREDE V19</t>
  </si>
  <si>
    <t>PAV 2 - PAREDE H2</t>
  </si>
  <si>
    <t>PAV 2 - PAREDE H7</t>
  </si>
  <si>
    <t>PAV 2 - PAREDE H8</t>
  </si>
  <si>
    <t>PAV 3 - PAREDE V2</t>
  </si>
  <si>
    <t>PAV 3 - PAREDE V4</t>
  </si>
  <si>
    <t>PAV 3 - PAREDE V6</t>
  </si>
  <si>
    <t>PAV 3 - PAREDE V7</t>
  </si>
  <si>
    <t>PAV 3 - PAREDE V8</t>
  </si>
  <si>
    <t>PAV 3 - PAREDE V9</t>
  </si>
  <si>
    <t>PAV 3 - PAREDE V12</t>
  </si>
  <si>
    <t>PAV 3 - PAREDE V13</t>
  </si>
  <si>
    <t>PAV 3 - PAREDE H5</t>
  </si>
  <si>
    <t>PAV 3 - PAREDE H6</t>
  </si>
  <si>
    <t>PAV 3 - PAREDE H7</t>
  </si>
  <si>
    <t>PAV 3 - PAREDE H8</t>
  </si>
  <si>
    <t>PAV 3 - PAREDE H9</t>
  </si>
  <si>
    <t>PAV 3 - PAREDE H10</t>
  </si>
  <si>
    <t>PINTURA EM FORROS</t>
  </si>
  <si>
    <t>QUADRO DE ESQUADRIAS</t>
  </si>
  <si>
    <t>PORTAS DEMOLIR</t>
  </si>
  <si>
    <t>COD.</t>
  </si>
  <si>
    <t>LARG</t>
  </si>
  <si>
    <t>ALT</t>
  </si>
  <si>
    <t>TIPO</t>
  </si>
  <si>
    <t>QUANT</t>
  </si>
  <si>
    <t>PD01</t>
  </si>
  <si>
    <t>Abrir 01 Folha - Madeira</t>
  </si>
  <si>
    <t>PD02</t>
  </si>
  <si>
    <t>Pele de Vidro</t>
  </si>
  <si>
    <t>PD03</t>
  </si>
  <si>
    <t>Abrir 02 Folhas - Metálica + Vidro</t>
  </si>
  <si>
    <t>PORTAS CONSTRUIR</t>
  </si>
  <si>
    <t>PC01</t>
  </si>
  <si>
    <t>Vão na Alvenaria</t>
  </si>
  <si>
    <t>PC02</t>
  </si>
  <si>
    <t>Porta de Abrir - Madeira</t>
  </si>
  <si>
    <t>PC03</t>
  </si>
  <si>
    <t>PORTAS EXISTENTES</t>
  </si>
  <si>
    <t>PE01</t>
  </si>
  <si>
    <t>PE02</t>
  </si>
  <si>
    <t>Vidro - Abrir</t>
  </si>
  <si>
    <t>Abrir 02 Folha - Madeira</t>
  </si>
  <si>
    <t>JANELAS DEMOLIR</t>
  </si>
  <si>
    <t>JD01</t>
  </si>
  <si>
    <t>Correr 02 Folhas</t>
  </si>
  <si>
    <t>JD02</t>
  </si>
  <si>
    <t>Maxin-Ar</t>
  </si>
  <si>
    <t>JD03</t>
  </si>
  <si>
    <t>Vidro Fixo</t>
  </si>
  <si>
    <t>JD04</t>
  </si>
  <si>
    <t>Vidro Fixo - Divisória</t>
  </si>
  <si>
    <t>JD05</t>
  </si>
  <si>
    <t>JD06</t>
  </si>
  <si>
    <t>JD07</t>
  </si>
  <si>
    <t>JD08</t>
  </si>
  <si>
    <t>JANELAS CONSTRUIR</t>
  </si>
  <si>
    <t>JC01</t>
  </si>
  <si>
    <t>JC02</t>
  </si>
  <si>
    <t>JC03</t>
  </si>
  <si>
    <t>JC04</t>
  </si>
  <si>
    <t>JC05</t>
  </si>
  <si>
    <t>JC06</t>
  </si>
  <si>
    <t>JANELAS EXISTENTES</t>
  </si>
  <si>
    <t>JE01</t>
  </si>
  <si>
    <t>JE02</t>
  </si>
  <si>
    <t>JE03</t>
  </si>
  <si>
    <t>JE04</t>
  </si>
  <si>
    <t>IMPERMEABILIZAÇÃO EM PAREDES</t>
  </si>
  <si>
    <t>IMPERMEABILIZAÇÃO EM PISOS</t>
  </si>
  <si>
    <t>M2 (H=0,5)</t>
  </si>
  <si>
    <t>REVESTIMENTO CERÂMICO PARA PISO 100X100CM, PORTINARI MOMENTO GR</t>
  </si>
  <si>
    <t>PAV1 - PORTA ACESSO EDIFICAÇÃO NOVA 1</t>
  </si>
  <si>
    <t>PAV1 - PORTA ACESSO EDIFICAÇÃO NOVA 2</t>
  </si>
  <si>
    <t>FORRO FIBRA MINERAL 0,625x0,625mm</t>
  </si>
  <si>
    <t>TAPUME METALICO EXTERNO</t>
  </si>
  <si>
    <t>DISTANCIA EIXO X</t>
  </si>
  <si>
    <t>DISTANCIA EIXO Y</t>
  </si>
  <si>
    <t>Tabela de conexão de duto</t>
  </si>
  <si>
    <t>Qtd</t>
  </si>
  <si>
    <t>Descrição</t>
  </si>
  <si>
    <t>Tamanho total</t>
  </si>
  <si>
    <t>T - Retangular</t>
  </si>
  <si>
    <t>75 mmx75 mm-75 mmx75 mm</t>
  </si>
  <si>
    <t>Luva Redução/Transição - Redonda x Retangular</t>
  </si>
  <si>
    <t>75 mmx110 mm-90 mmø</t>
  </si>
  <si>
    <t>90 mmø-75 mmx75 mm</t>
  </si>
  <si>
    <t>110 mmx110 mm-75 mmx75 mm</t>
  </si>
  <si>
    <t>110 mmx110 mm-110 mmx110 mm</t>
  </si>
  <si>
    <t>110 mmx110 mm-110 mmx110 mm-75 mmx110 mm</t>
  </si>
  <si>
    <t>110 mmx110 mm-110 mmø</t>
  </si>
  <si>
    <t>110 mmx200 mm-110 mmø</t>
  </si>
  <si>
    <t>125 mmx125 mm-125 mmx125 mm</t>
  </si>
  <si>
    <t>125 mmx125 mm-125 mmø</t>
  </si>
  <si>
    <t>125 mmx200 mm-125 mmx125 mm</t>
  </si>
  <si>
    <t>140 mmx140 mm-140 mmx140 mm</t>
  </si>
  <si>
    <t>140 mmx140 mm-150 mmø</t>
  </si>
  <si>
    <t>140 mmx175 mm-150 mmø</t>
  </si>
  <si>
    <t>140 mmx225 mm-150 mmø</t>
  </si>
  <si>
    <t>140 mmx250 mm-150 mmø</t>
  </si>
  <si>
    <t>150 mmx150 mm-150 mmø</t>
  </si>
  <si>
    <t>150 mmx300 mm-150 mmx150 mm</t>
  </si>
  <si>
    <t>175 mmx175 mm-110 mmx110 mm</t>
  </si>
  <si>
    <t>175 mmx175 mm-175 mmx175 mm-140 mmx175 mm</t>
  </si>
  <si>
    <t>200 mmx200 mm-90 mmø</t>
  </si>
  <si>
    <t>200 mmx200 mm-110 mmx110 mm</t>
  </si>
  <si>
    <t>200 mmx200 mm-110 mmø</t>
  </si>
  <si>
    <t>200 mmx200 mm-125 mmx125 mm</t>
  </si>
  <si>
    <t>200 mmx200 mm-125 mmx200 mm</t>
  </si>
  <si>
    <t>200 mmx200 mm-125 mmx200 mm-125 mmx200 mm</t>
  </si>
  <si>
    <t>200 mmx200 mm-125 mmø</t>
  </si>
  <si>
    <t>200 mmx200 mm-140 mmx140 mm</t>
  </si>
  <si>
    <t>200 mmx200 mm-150 mmx150 mm</t>
  </si>
  <si>
    <t>200 mmx200 mm-150 mmø</t>
  </si>
  <si>
    <t>200 mmx200 mm-200 mmx200 mm</t>
  </si>
  <si>
    <t>200 mmx200 mm-200 mmx200 mm-110 mmx200 mm</t>
  </si>
  <si>
    <t>200 mmx200 mm-200 mmx200 mm-200 mmx200 mm</t>
  </si>
  <si>
    <t>200 mmx200 mm-200 mmø</t>
  </si>
  <si>
    <t>200 mmx300 mm-200 mmø</t>
  </si>
  <si>
    <t>225 mmx225 mm-175 mmx175 mm</t>
  </si>
  <si>
    <t>225 mmx225 mm-225 mmx225 mm-140 mmx225 mm</t>
  </si>
  <si>
    <t>250 mmx250 mm-200 mmx200 mm</t>
  </si>
  <si>
    <t>250 mmx250 mm-250 mmx250 mm-140 mmx250 mm</t>
  </si>
  <si>
    <t>250 mmx325 mm-225 mmx225 mm</t>
  </si>
  <si>
    <t>250 mmx325 mm-250 mmx250 mm</t>
  </si>
  <si>
    <t>300 mmx200 mm-200 mmx200 mm-200 mmx200 mm</t>
  </si>
  <si>
    <t>300 mmx300 mm-200 mmx200 mm</t>
  </si>
  <si>
    <t>300 mmx300 mm-300 mmx200 mm</t>
  </si>
  <si>
    <t>300 mmx300 mm-300 mmx300 mm-150 mmx300 mm</t>
  </si>
  <si>
    <t>300 mmx300 mm-300 mmx300 mm-200 mmx300 mm</t>
  </si>
  <si>
    <t>300 mmx300 mm-300 mmx300 mm-300 mmx300 mm</t>
  </si>
  <si>
    <t>325 mmx325 mm-250 mmx325 mm-250 mmx325 mm</t>
  </si>
  <si>
    <t>400 mmx400 mm-400 mmø</t>
  </si>
  <si>
    <t>400 mmø-300 mmx300 mm</t>
  </si>
  <si>
    <t>400 mmø-325 mmx325 mm</t>
  </si>
  <si>
    <t>Area unitária</t>
  </si>
  <si>
    <t>Área total</t>
  </si>
  <si>
    <t>PAV 3 - ESCADA</t>
  </si>
  <si>
    <t>AREA</t>
  </si>
  <si>
    <t>PD04</t>
  </si>
  <si>
    <t>Abrir 01 Folha - Madeira - Divisória</t>
  </si>
  <si>
    <t>PD05</t>
  </si>
  <si>
    <t>Abrir 01 Folha - Madeira - Alvenaria</t>
  </si>
  <si>
    <t>PD06</t>
  </si>
  <si>
    <t>Divisória Banehiro</t>
  </si>
  <si>
    <t>PD07</t>
  </si>
  <si>
    <t>PD08</t>
  </si>
  <si>
    <t>PD09</t>
  </si>
  <si>
    <t>JD09</t>
  </si>
  <si>
    <t>PC04</t>
  </si>
  <si>
    <t>PC05</t>
  </si>
  <si>
    <t>PC06</t>
  </si>
  <si>
    <t>Abrir 01 Folha - Alumínio Branco</t>
  </si>
  <si>
    <t>PC07</t>
  </si>
  <si>
    <t>JC07</t>
  </si>
  <si>
    <t>PC08</t>
  </si>
  <si>
    <t>ACABAMENTO EM TIJOLO APARENTE</t>
  </si>
  <si>
    <t>ACABAMENTO EM PINTURA CIMENTADA</t>
  </si>
  <si>
    <t>ACABAMENTO EM PINTURA ACRILICA</t>
  </si>
  <si>
    <t>PINTURA EM PAREDES - EXTERNAS</t>
  </si>
  <si>
    <t>RODAPÉ</t>
  </si>
  <si>
    <t>M2 (H=3)</t>
  </si>
  <si>
    <t>PAV 1 - SRMA</t>
  </si>
  <si>
    <t>PAV 1 - CIRCULAÇÃO E ESCADAS</t>
  </si>
  <si>
    <t>PAV 1 - GAB SRMA</t>
  </si>
  <si>
    <t>PAV 1 - CCAR + RECEPÇÃO + GABINETES</t>
  </si>
  <si>
    <t>PAV. 2 - SAAS + CIRC + CC-SEMA/GEMF/CDRF</t>
  </si>
  <si>
    <t>PAV. 3 - CIRCULAÇÃO + COSER + CIND+GCABI + GEPI</t>
  </si>
  <si>
    <t>TROCA DE  CERÂMICA EM PAREDES</t>
  </si>
  <si>
    <t>PAV 1 - PC01</t>
  </si>
  <si>
    <t>PAV 1 - PC03</t>
  </si>
  <si>
    <t>PAV 2 - PC01</t>
  </si>
  <si>
    <t>PAV 1 - PAREDE 7,27</t>
  </si>
  <si>
    <t>PAV 1 - PAREDE 0,87</t>
  </si>
  <si>
    <t>PAV 3 - PC01</t>
  </si>
  <si>
    <t>m³</t>
  </si>
  <si>
    <t>PAV. 1 - LAVABO 1</t>
  </si>
  <si>
    <t>PAV. 1 - LAVABO 2</t>
  </si>
  <si>
    <t>PAV1 - VAO DE ENTRADA GESTAO DE PESSOAS</t>
  </si>
  <si>
    <t>PAV2 - PORTA ACESSO EDIFICAÇÃO NOVA 1</t>
  </si>
  <si>
    <t>PAV3 - PORTA ACESSO EDIFICAÇÃO NOVA 1</t>
  </si>
  <si>
    <t>PAV 1 - BANHO MASC</t>
  </si>
  <si>
    <t>PAV 1 - LAV</t>
  </si>
  <si>
    <t>PAV 1 - BANHO FEM</t>
  </si>
  <si>
    <t>PAV 1 - COPA / DML</t>
  </si>
  <si>
    <t>PAV 1 - banho Fem</t>
  </si>
  <si>
    <t>PAV 2 - ESCADA</t>
  </si>
  <si>
    <t>PAV 2 - dml</t>
  </si>
  <si>
    <t>PAV 2 - copa dml</t>
  </si>
  <si>
    <t>PAV 2 - banho fem</t>
  </si>
  <si>
    <t>PAV 2 - banho masc</t>
  </si>
  <si>
    <t>PAV 3 - COPA DML</t>
  </si>
  <si>
    <t>PAV 3 - BANHO FEM</t>
  </si>
  <si>
    <t>PAV 3 - BANHO MASC</t>
  </si>
  <si>
    <t>PAV 1 - SUPERINTENDÊNCIA DE REGULARIZAÇÃO E MONITORAMENTO AMBIENTAL (SRMA)</t>
  </si>
  <si>
    <t>PAV 1 - GESTÃO DE PESSOAS</t>
  </si>
  <si>
    <t>PAV 1 - SALA DO RACK - T.I.</t>
  </si>
  <si>
    <t>PAV 1 - RECEPÇÃO</t>
  </si>
  <si>
    <t>PAV 1 - S REUNIÕES</t>
  </si>
  <si>
    <t>PAV 1 - S ASSESSORES</t>
  </si>
  <si>
    <t>PAV 1 - GAB SER ADJUNTO SAGA</t>
  </si>
  <si>
    <t>PAV 1 - COORD CAD REG AMBIENTAL</t>
  </si>
  <si>
    <t>PAV 1 - SALA DE REUNIÕES</t>
  </si>
  <si>
    <t>PAV 1 - circulação</t>
  </si>
  <si>
    <t>PAV 1 - gab super SRMA</t>
  </si>
  <si>
    <t>PAV 2 - S REUNIÕES</t>
  </si>
  <si>
    <t>PAV 2 - circ</t>
  </si>
  <si>
    <t>PAV 2 - SAAS</t>
  </si>
  <si>
    <t>PAV 2 - DEPÓSITO</t>
  </si>
  <si>
    <t>PAV 2 - SALA DO RACK - T.I.</t>
  </si>
  <si>
    <t>PAV 2 - CIRC</t>
  </si>
  <si>
    <t>PAV 2 - CC-SEMA - GEMF - CDRF</t>
  </si>
  <si>
    <t>PAV 3 - COSER CAPIA</t>
  </si>
  <si>
    <t>PAV 3 - COOR DE IND</t>
  </si>
  <si>
    <t>PAV 3 - COOR DE MINER</t>
  </si>
  <si>
    <t>PAV 3 - DEPÓSITO</t>
  </si>
  <si>
    <t>PAV 3 - SALA RACK TI</t>
  </si>
  <si>
    <t>PAV 3 - CIRCULAÇÃO</t>
  </si>
  <si>
    <t>PAV 3 - S ATENDIMENTO</t>
  </si>
  <si>
    <t>PAV 3 - APOIO SUMIS</t>
  </si>
  <si>
    <t>PAV 3 - GAB SUP SUIMIS</t>
  </si>
  <si>
    <t>PAV 3 - S REUNIÕES</t>
  </si>
  <si>
    <t>PAV 3 - GCABI</t>
  </si>
  <si>
    <t>PAV 3 - CGP CEPI</t>
  </si>
  <si>
    <t>PAV 1- BANHO MASC</t>
  </si>
  <si>
    <t>PAV 1- banho Fem</t>
  </si>
  <si>
    <t>PAV 1- COPA / DML</t>
  </si>
  <si>
    <t>PAV 1- DML</t>
  </si>
  <si>
    <t>PAV 1- BANHO FEM</t>
  </si>
  <si>
    <t>PAV 1- LAV</t>
  </si>
  <si>
    <t>PAV 2 - BANHO MASC</t>
  </si>
  <si>
    <t>PAV 2 -  banho masc</t>
  </si>
  <si>
    <t>PAV 2 -  banho fem</t>
  </si>
  <si>
    <t>PAV 2 -  dml</t>
  </si>
  <si>
    <t>PAV 1</t>
  </si>
  <si>
    <t>BANHO MASC</t>
  </si>
  <si>
    <t>banho Fem</t>
  </si>
  <si>
    <t>COPA / DML</t>
  </si>
  <si>
    <t>DML</t>
  </si>
  <si>
    <t>BANHO FEM</t>
  </si>
  <si>
    <t>LAV</t>
  </si>
  <si>
    <t>PAV2</t>
  </si>
  <si>
    <t>banho masc</t>
  </si>
  <si>
    <t>banho fem</t>
  </si>
  <si>
    <t>copa dml</t>
  </si>
  <si>
    <t>dml</t>
  </si>
  <si>
    <t>PAV3</t>
  </si>
  <si>
    <t>COPA DML</t>
  </si>
  <si>
    <t>SUPERINTENDÊNCIA DE REGULARIZAÇÃO E MONITORAMENTO AMBIENTAL (SRMA)</t>
  </si>
  <si>
    <t>GESTÃO DE PESSOAS</t>
  </si>
  <si>
    <t>SALA DO RACK - T.I.</t>
  </si>
  <si>
    <t>RECEPÇÃO</t>
  </si>
  <si>
    <t>S REUNIÕES</t>
  </si>
  <si>
    <t>S ASSESSORES</t>
  </si>
  <si>
    <t>GAB SER ADJUNTO SAGA</t>
  </si>
  <si>
    <t>COORD CAD REG AMBIENTAL</t>
  </si>
  <si>
    <t>SALA DE REUNIÕES</t>
  </si>
  <si>
    <t>circulação</t>
  </si>
  <si>
    <t>gab super SRMA</t>
  </si>
  <si>
    <t>circ</t>
  </si>
  <si>
    <t>SAAS</t>
  </si>
  <si>
    <t>DEPÓSITO</t>
  </si>
  <si>
    <t>GAB SUGF</t>
  </si>
  <si>
    <t>CIRC</t>
  </si>
  <si>
    <t>CC-SEMA - GEMF - CDRF</t>
  </si>
  <si>
    <t>COSER CAPIA</t>
  </si>
  <si>
    <t>COOR DE IND</t>
  </si>
  <si>
    <t>COOR DE MINER</t>
  </si>
  <si>
    <t>SALA RACK TI</t>
  </si>
  <si>
    <t>CIRCULAÇÃO</t>
  </si>
  <si>
    <t>S ATENDIMENTO</t>
  </si>
  <si>
    <t>APOIO SUMIS</t>
  </si>
  <si>
    <t>GAB SUP SUIMIS</t>
  </si>
  <si>
    <t>GCABI</t>
  </si>
  <si>
    <t>CGP CEPI</t>
  </si>
  <si>
    <t>DESCONTOS M2</t>
  </si>
  <si>
    <t>PINTURA EM GESSO</t>
  </si>
  <si>
    <t>ALTURA</t>
  </si>
  <si>
    <t>DISTANCIA</t>
  </si>
  <si>
    <t>PAV. 2 - SALA RACK</t>
  </si>
  <si>
    <t>PAV. 2 - DML</t>
  </si>
  <si>
    <t>DESCONTO</t>
  </si>
  <si>
    <t>PAV. 3 - SALA RACK</t>
  </si>
  <si>
    <t>PAV. 3 - DML</t>
  </si>
  <si>
    <t>PINTURA INTERNA</t>
  </si>
  <si>
    <t>AREA DE PINTURA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</si>
</sst>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Arial"/>
      <family val="1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3" fontId="1" fillId="2" borderId="1" xfId="0" applyNumberFormat="1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4" borderId="0" xfId="0" applyFill="1" applyAlignment="1">
      <alignment horizontal="center"/>
    </xf>
    <xf numFmtId="2" fontId="0" fillId="4" borderId="0" xfId="0" applyNumberFormat="1" applyFill="1"/>
    <xf numFmtId="0" fontId="0" fillId="4" borderId="0" xfId="0" applyFill="1"/>
    <xf numFmtId="2" fontId="0" fillId="0" borderId="0" xfId="0" applyNumberFormat="1"/>
    <xf numFmtId="0" fontId="0" fillId="5" borderId="0" xfId="0" applyFill="1" applyAlignment="1">
      <alignment horizontal="center"/>
    </xf>
    <xf numFmtId="2" fontId="0" fillId="5" borderId="0" xfId="0" applyNumberFormat="1" applyFill="1"/>
    <xf numFmtId="0" fontId="0" fillId="5" borderId="0" xfId="0" applyFill="1"/>
    <xf numFmtId="0" fontId="6" fillId="0" borderId="0" xfId="0" applyFont="1"/>
    <xf numFmtId="43" fontId="1" fillId="2" borderId="1" xfId="2" applyFont="1" applyFill="1" applyBorder="1" applyAlignment="1">
      <alignment horizontal="center" vertical="top" wrapText="1"/>
    </xf>
    <xf numFmtId="0" fontId="0" fillId="6" borderId="0" xfId="0" applyFill="1"/>
    <xf numFmtId="0" fontId="5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3">
    <cellStyle name="Normal" xfId="0" builtinId="0"/>
    <cellStyle name="Normal 2" xfId="1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97"/>
  <sheetViews>
    <sheetView tabSelected="1" view="pageBreakPreview" topLeftCell="A64" zoomScale="60" zoomScaleNormal="100" workbookViewId="0">
      <selection activeCell="A120" sqref="A120:B122"/>
    </sheetView>
  </sheetViews>
  <sheetFormatPr defaultRowHeight="15" x14ac:dyDescent="0.25"/>
  <cols>
    <col min="1" max="1" width="52.7109375" customWidth="1"/>
    <col min="2" max="2" width="13" customWidth="1"/>
  </cols>
  <sheetData>
    <row r="2" spans="1:3" ht="25.5" x14ac:dyDescent="0.25">
      <c r="A2" s="1" t="s">
        <v>0</v>
      </c>
      <c r="B2" s="2">
        <f>B3</f>
        <v>11302.8</v>
      </c>
      <c r="C2" s="2" t="s">
        <v>5</v>
      </c>
    </row>
    <row r="3" spans="1:3" x14ac:dyDescent="0.25">
      <c r="A3" t="s">
        <v>7</v>
      </c>
      <c r="B3">
        <f>18838*0.6</f>
        <v>11302.8</v>
      </c>
    </row>
    <row r="4" spans="1:3" ht="38.25" x14ac:dyDescent="0.25">
      <c r="A4" s="1" t="s">
        <v>1</v>
      </c>
      <c r="B4" s="4">
        <f>B5</f>
        <v>1096.2</v>
      </c>
      <c r="C4" s="2" t="s">
        <v>6</v>
      </c>
    </row>
    <row r="5" spans="1:3" x14ac:dyDescent="0.25">
      <c r="A5" t="s">
        <v>8</v>
      </c>
      <c r="B5">
        <f>1827*0.6</f>
        <v>1096.2</v>
      </c>
    </row>
    <row r="6" spans="1:3" ht="25.5" x14ac:dyDescent="0.25">
      <c r="A6" s="1" t="s">
        <v>2</v>
      </c>
      <c r="B6" s="2">
        <f>B7</f>
        <v>297</v>
      </c>
      <c r="C6" s="2" t="s">
        <v>6</v>
      </c>
    </row>
    <row r="7" spans="1:3" x14ac:dyDescent="0.25">
      <c r="A7" t="s">
        <v>9</v>
      </c>
      <c r="B7">
        <f>495*0.6</f>
        <v>297</v>
      </c>
    </row>
    <row r="8" spans="1:3" ht="38.25" x14ac:dyDescent="0.25">
      <c r="A8" s="1" t="s">
        <v>3</v>
      </c>
      <c r="B8" s="5">
        <f>SUM(B9:B13)</f>
        <v>75.495000000000005</v>
      </c>
      <c r="C8" s="2" t="s">
        <v>4</v>
      </c>
    </row>
    <row r="9" spans="1:3" x14ac:dyDescent="0.25">
      <c r="A9" t="s">
        <v>14</v>
      </c>
      <c r="B9">
        <f>4*3.5</f>
        <v>14</v>
      </c>
    </row>
    <row r="10" spans="1:3" x14ac:dyDescent="0.25">
      <c r="A10" t="s">
        <v>10</v>
      </c>
      <c r="B10">
        <f>4.78*3.5</f>
        <v>16.73</v>
      </c>
    </row>
    <row r="11" spans="1:3" x14ac:dyDescent="0.25">
      <c r="A11" t="s">
        <v>15</v>
      </c>
      <c r="B11">
        <f>4.56*3.5</f>
        <v>15.959999999999999</v>
      </c>
    </row>
    <row r="12" spans="1:3" x14ac:dyDescent="0.25">
      <c r="A12" t="s">
        <v>11</v>
      </c>
      <c r="B12">
        <f>4.56*3.5</f>
        <v>15.959999999999999</v>
      </c>
    </row>
    <row r="13" spans="1:3" x14ac:dyDescent="0.25">
      <c r="A13" t="s">
        <v>12</v>
      </c>
      <c r="B13">
        <f>3.67*3.5</f>
        <v>12.844999999999999</v>
      </c>
    </row>
    <row r="14" spans="1:3" ht="25.5" x14ac:dyDescent="0.25">
      <c r="A14" s="1" t="s">
        <v>13</v>
      </c>
      <c r="B14" s="16">
        <f>(B15+B16+B17+B18+B19+B20)*0.15</f>
        <v>4.6345499999999999</v>
      </c>
      <c r="C14" s="2" t="s">
        <v>304</v>
      </c>
    </row>
    <row r="15" spans="1:3" x14ac:dyDescent="0.25">
      <c r="A15" t="s">
        <v>301</v>
      </c>
      <c r="B15">
        <f>7.27*2.1</f>
        <v>15.266999999999999</v>
      </c>
    </row>
    <row r="16" spans="1:3" x14ac:dyDescent="0.25">
      <c r="A16" t="s">
        <v>302</v>
      </c>
      <c r="B16">
        <f>0.87*3</f>
        <v>2.61</v>
      </c>
    </row>
    <row r="17" spans="1:3" x14ac:dyDescent="0.25">
      <c r="A17" t="s">
        <v>298</v>
      </c>
      <c r="B17">
        <f>1.8*2.1</f>
        <v>3.7800000000000002</v>
      </c>
    </row>
    <row r="18" spans="1:3" x14ac:dyDescent="0.25">
      <c r="A18" t="s">
        <v>299</v>
      </c>
      <c r="B18">
        <f>0.8*2.1</f>
        <v>1.6800000000000002</v>
      </c>
    </row>
    <row r="19" spans="1:3" x14ac:dyDescent="0.25">
      <c r="A19" t="s">
        <v>300</v>
      </c>
      <c r="B19">
        <f>1.8*2.1</f>
        <v>3.7800000000000002</v>
      </c>
    </row>
    <row r="20" spans="1:3" x14ac:dyDescent="0.25">
      <c r="A20" t="s">
        <v>303</v>
      </c>
      <c r="B20">
        <f>1.8*2.1</f>
        <v>3.7800000000000002</v>
      </c>
    </row>
    <row r="23" spans="1:3" ht="38.25" x14ac:dyDescent="0.25">
      <c r="A23" s="1" t="s">
        <v>18</v>
      </c>
      <c r="B23" s="2">
        <f>SUM(B24)</f>
        <v>4.1309999999999993</v>
      </c>
      <c r="C23" s="2" t="s">
        <v>19</v>
      </c>
    </row>
    <row r="24" spans="1:3" x14ac:dyDescent="0.25">
      <c r="A24" t="s">
        <v>20</v>
      </c>
      <c r="B24">
        <f>13.77*0.3</f>
        <v>4.1309999999999993</v>
      </c>
    </row>
    <row r="25" spans="1:3" ht="38.25" x14ac:dyDescent="0.25">
      <c r="A25" s="1" t="s">
        <v>21</v>
      </c>
      <c r="B25" s="2">
        <f>SUM(B26:B78)</f>
        <v>2469.3400000000006</v>
      </c>
      <c r="C25" s="2" t="s">
        <v>4</v>
      </c>
    </row>
    <row r="26" spans="1:3" x14ac:dyDescent="0.25">
      <c r="A26" t="s">
        <v>377</v>
      </c>
      <c r="B26">
        <v>312.45999999999998</v>
      </c>
    </row>
    <row r="27" spans="1:3" x14ac:dyDescent="0.25">
      <c r="A27" t="s">
        <v>378</v>
      </c>
      <c r="B27">
        <v>35.39</v>
      </c>
    </row>
    <row r="28" spans="1:3" x14ac:dyDescent="0.25">
      <c r="A28" t="s">
        <v>379</v>
      </c>
      <c r="B28">
        <v>11.21</v>
      </c>
    </row>
    <row r="29" spans="1:3" x14ac:dyDescent="0.25">
      <c r="A29" t="s">
        <v>364</v>
      </c>
      <c r="B29">
        <v>17.91</v>
      </c>
    </row>
    <row r="30" spans="1:3" x14ac:dyDescent="0.25">
      <c r="A30" t="s">
        <v>365</v>
      </c>
      <c r="B30">
        <v>17.38</v>
      </c>
    </row>
    <row r="31" spans="1:3" x14ac:dyDescent="0.25">
      <c r="A31" t="s">
        <v>366</v>
      </c>
      <c r="B31">
        <v>9.81</v>
      </c>
    </row>
    <row r="32" spans="1:3" x14ac:dyDescent="0.25">
      <c r="A32" t="s">
        <v>367</v>
      </c>
      <c r="B32">
        <v>8.1</v>
      </c>
    </row>
    <row r="33" spans="1:2" x14ac:dyDescent="0.25">
      <c r="A33" t="s">
        <v>368</v>
      </c>
      <c r="B33">
        <v>2.54</v>
      </c>
    </row>
    <row r="34" spans="1:2" x14ac:dyDescent="0.25">
      <c r="A34" t="s">
        <v>369</v>
      </c>
      <c r="B34">
        <v>2.99</v>
      </c>
    </row>
    <row r="35" spans="1:2" x14ac:dyDescent="0.25">
      <c r="A35" t="s">
        <v>364</v>
      </c>
      <c r="B35">
        <v>2.56</v>
      </c>
    </row>
    <row r="36" spans="1:2" x14ac:dyDescent="0.25">
      <c r="A36" t="s">
        <v>380</v>
      </c>
      <c r="B36">
        <v>29.94</v>
      </c>
    </row>
    <row r="37" spans="1:2" x14ac:dyDescent="0.25">
      <c r="A37" t="s">
        <v>381</v>
      </c>
      <c r="B37">
        <v>15.99</v>
      </c>
    </row>
    <row r="38" spans="1:2" x14ac:dyDescent="0.25">
      <c r="A38" t="s">
        <v>382</v>
      </c>
      <c r="B38">
        <v>20.79</v>
      </c>
    </row>
    <row r="39" spans="1:2" x14ac:dyDescent="0.25">
      <c r="A39" t="s">
        <v>383</v>
      </c>
      <c r="B39">
        <v>15.69</v>
      </c>
    </row>
    <row r="40" spans="1:2" x14ac:dyDescent="0.25">
      <c r="A40" t="s">
        <v>384</v>
      </c>
      <c r="B40">
        <v>192.89</v>
      </c>
    </row>
    <row r="41" spans="1:2" x14ac:dyDescent="0.25">
      <c r="A41" t="s">
        <v>385</v>
      </c>
      <c r="B41">
        <v>18.46</v>
      </c>
    </row>
    <row r="42" spans="1:2" x14ac:dyDescent="0.25">
      <c r="A42" t="s">
        <v>386</v>
      </c>
      <c r="B42">
        <v>54.5</v>
      </c>
    </row>
    <row r="43" spans="1:2" x14ac:dyDescent="0.25">
      <c r="A43" t="s">
        <v>387</v>
      </c>
      <c r="B43">
        <v>17.82</v>
      </c>
    </row>
    <row r="44" spans="1:2" x14ac:dyDescent="0.25">
      <c r="A44" t="s">
        <v>20</v>
      </c>
      <c r="B44">
        <v>36</v>
      </c>
    </row>
    <row r="46" spans="1:2" x14ac:dyDescent="0.25">
      <c r="A46" t="s">
        <v>381</v>
      </c>
      <c r="B46">
        <v>10.71</v>
      </c>
    </row>
    <row r="47" spans="1:2" x14ac:dyDescent="0.25">
      <c r="A47" t="s">
        <v>371</v>
      </c>
      <c r="B47">
        <v>20.78</v>
      </c>
    </row>
    <row r="48" spans="1:2" x14ac:dyDescent="0.25">
      <c r="A48" t="s">
        <v>372</v>
      </c>
      <c r="B48">
        <v>20.61</v>
      </c>
    </row>
    <row r="49" spans="1:2" x14ac:dyDescent="0.25">
      <c r="A49" t="s">
        <v>373</v>
      </c>
      <c r="B49">
        <v>9.81</v>
      </c>
    </row>
    <row r="50" spans="1:2" x14ac:dyDescent="0.25">
      <c r="A50" t="s">
        <v>374</v>
      </c>
      <c r="B50">
        <v>8.1</v>
      </c>
    </row>
    <row r="51" spans="1:2" x14ac:dyDescent="0.25">
      <c r="A51" t="s">
        <v>388</v>
      </c>
      <c r="B51">
        <v>19.21</v>
      </c>
    </row>
    <row r="52" spans="1:2" x14ac:dyDescent="0.25">
      <c r="A52" t="s">
        <v>389</v>
      </c>
      <c r="B52">
        <v>316.89</v>
      </c>
    </row>
    <row r="53" spans="1:2" x14ac:dyDescent="0.25">
      <c r="A53" t="s">
        <v>390</v>
      </c>
      <c r="B53">
        <v>6.95</v>
      </c>
    </row>
    <row r="54" spans="1:2" x14ac:dyDescent="0.25">
      <c r="A54" t="s">
        <v>379</v>
      </c>
      <c r="B54">
        <v>11.21</v>
      </c>
    </row>
    <row r="55" spans="1:2" x14ac:dyDescent="0.25">
      <c r="A55" t="s">
        <v>391</v>
      </c>
      <c r="B55">
        <v>12.06</v>
      </c>
    </row>
    <row r="56" spans="1:2" x14ac:dyDescent="0.25">
      <c r="A56" t="s">
        <v>392</v>
      </c>
      <c r="B56">
        <v>67.63</v>
      </c>
    </row>
    <row r="57" spans="1:2" x14ac:dyDescent="0.25">
      <c r="A57" t="s">
        <v>393</v>
      </c>
      <c r="B57">
        <v>286.58</v>
      </c>
    </row>
    <row r="58" spans="1:2" x14ac:dyDescent="0.25">
      <c r="A58" t="s">
        <v>20</v>
      </c>
      <c r="B58">
        <v>36</v>
      </c>
    </row>
    <row r="60" spans="1:2" x14ac:dyDescent="0.25">
      <c r="A60" t="s">
        <v>394</v>
      </c>
      <c r="B60">
        <v>143.4</v>
      </c>
    </row>
    <row r="61" spans="1:2" x14ac:dyDescent="0.25">
      <c r="A61" t="s">
        <v>395</v>
      </c>
      <c r="B61">
        <v>100.6</v>
      </c>
    </row>
    <row r="62" spans="1:2" x14ac:dyDescent="0.25">
      <c r="A62" t="s">
        <v>396</v>
      </c>
      <c r="B62">
        <v>80.14</v>
      </c>
    </row>
    <row r="63" spans="1:2" x14ac:dyDescent="0.25">
      <c r="A63" t="s">
        <v>390</v>
      </c>
      <c r="B63">
        <v>7.21</v>
      </c>
    </row>
    <row r="64" spans="1:2" x14ac:dyDescent="0.25">
      <c r="A64" t="s">
        <v>397</v>
      </c>
      <c r="B64">
        <v>11.21</v>
      </c>
    </row>
    <row r="65" spans="1:3" x14ac:dyDescent="0.25">
      <c r="A65" t="s">
        <v>364</v>
      </c>
      <c r="B65">
        <v>20.8</v>
      </c>
    </row>
    <row r="66" spans="1:3" x14ac:dyDescent="0.25">
      <c r="A66" t="s">
        <v>368</v>
      </c>
      <c r="B66">
        <v>20.61</v>
      </c>
    </row>
    <row r="67" spans="1:3" x14ac:dyDescent="0.25">
      <c r="A67" t="s">
        <v>376</v>
      </c>
      <c r="B67">
        <v>9.89</v>
      </c>
    </row>
    <row r="68" spans="1:3" x14ac:dyDescent="0.25">
      <c r="A68" t="s">
        <v>367</v>
      </c>
      <c r="B68">
        <v>8.1</v>
      </c>
    </row>
    <row r="69" spans="1:3" x14ac:dyDescent="0.25">
      <c r="A69" t="s">
        <v>398</v>
      </c>
      <c r="B69">
        <v>46.07</v>
      </c>
    </row>
    <row r="70" spans="1:3" x14ac:dyDescent="0.25">
      <c r="A70" t="s">
        <v>399</v>
      </c>
      <c r="B70">
        <v>5.26</v>
      </c>
    </row>
    <row r="71" spans="1:3" x14ac:dyDescent="0.25">
      <c r="A71" t="s">
        <v>399</v>
      </c>
      <c r="B71">
        <v>4.93</v>
      </c>
    </row>
    <row r="72" spans="1:3" x14ac:dyDescent="0.25">
      <c r="A72" t="s">
        <v>400</v>
      </c>
      <c r="B72">
        <v>20.23</v>
      </c>
    </row>
    <row r="73" spans="1:3" x14ac:dyDescent="0.25">
      <c r="A73" t="s">
        <v>401</v>
      </c>
      <c r="B73">
        <v>13.07</v>
      </c>
    </row>
    <row r="74" spans="1:3" x14ac:dyDescent="0.25">
      <c r="A74" t="s">
        <v>381</v>
      </c>
      <c r="B74">
        <v>29.18</v>
      </c>
    </row>
    <row r="75" spans="1:3" x14ac:dyDescent="0.25">
      <c r="A75" t="s">
        <v>402</v>
      </c>
      <c r="B75">
        <v>167.11</v>
      </c>
    </row>
    <row r="76" spans="1:3" x14ac:dyDescent="0.25">
      <c r="A76" t="s">
        <v>403</v>
      </c>
      <c r="B76">
        <v>96.56</v>
      </c>
    </row>
    <row r="77" spans="1:3" x14ac:dyDescent="0.25">
      <c r="A77" t="s">
        <v>20</v>
      </c>
      <c r="B77">
        <v>36</v>
      </c>
    </row>
    <row r="79" spans="1:3" ht="25.5" x14ac:dyDescent="0.25">
      <c r="A79" s="1" t="s">
        <v>66</v>
      </c>
      <c r="B79" s="3">
        <f>SUM(B80:B106)</f>
        <v>885.43</v>
      </c>
      <c r="C79" s="2" t="s">
        <v>5</v>
      </c>
    </row>
    <row r="80" spans="1:3" x14ac:dyDescent="0.25">
      <c r="A80" t="s">
        <v>25</v>
      </c>
      <c r="B80">
        <v>75.709999999999994</v>
      </c>
    </row>
    <row r="81" spans="1:2" x14ac:dyDescent="0.25">
      <c r="A81" t="s">
        <v>26</v>
      </c>
      <c r="B81">
        <v>24.17</v>
      </c>
    </row>
    <row r="82" spans="1:2" x14ac:dyDescent="0.25">
      <c r="A82" t="s">
        <v>27</v>
      </c>
      <c r="B82">
        <v>13.82</v>
      </c>
    </row>
    <row r="83" spans="1:2" x14ac:dyDescent="0.25">
      <c r="A83" t="s">
        <v>30</v>
      </c>
      <c r="B83">
        <v>12.79</v>
      </c>
    </row>
    <row r="84" spans="1:2" x14ac:dyDescent="0.25">
      <c r="A84" t="s">
        <v>31</v>
      </c>
      <c r="B84">
        <v>11.84</v>
      </c>
    </row>
    <row r="85" spans="1:2" x14ac:dyDescent="0.25">
      <c r="A85" t="s">
        <v>33</v>
      </c>
      <c r="B85">
        <v>68.290000000000006</v>
      </c>
    </row>
    <row r="86" spans="1:2" x14ac:dyDescent="0.25">
      <c r="A86" t="s">
        <v>34</v>
      </c>
      <c r="B86">
        <v>6.8</v>
      </c>
    </row>
    <row r="87" spans="1:2" x14ac:dyDescent="0.25">
      <c r="A87" t="s">
        <v>35</v>
      </c>
      <c r="B87">
        <v>6.8</v>
      </c>
    </row>
    <row r="88" spans="1:2" x14ac:dyDescent="0.25">
      <c r="A88" t="s">
        <v>36</v>
      </c>
      <c r="B88">
        <v>56.01</v>
      </c>
    </row>
    <row r="89" spans="1:2" x14ac:dyDescent="0.25">
      <c r="A89" t="s">
        <v>40</v>
      </c>
      <c r="B89">
        <v>11.84</v>
      </c>
    </row>
    <row r="90" spans="1:2" x14ac:dyDescent="0.25">
      <c r="A90" t="s">
        <v>41</v>
      </c>
      <c r="B90">
        <v>12.8</v>
      </c>
    </row>
    <row r="91" spans="1:2" x14ac:dyDescent="0.25">
      <c r="A91" t="s">
        <v>44</v>
      </c>
      <c r="B91">
        <v>21.58</v>
      </c>
    </row>
    <row r="92" spans="1:2" x14ac:dyDescent="0.25">
      <c r="A92" t="s">
        <v>45</v>
      </c>
      <c r="B92">
        <v>5.41</v>
      </c>
    </row>
    <row r="93" spans="1:2" x14ac:dyDescent="0.25">
      <c r="A93" t="s">
        <v>46</v>
      </c>
      <c r="B93">
        <v>180.16</v>
      </c>
    </row>
    <row r="94" spans="1:2" x14ac:dyDescent="0.25">
      <c r="A94" t="s">
        <v>47</v>
      </c>
      <c r="B94">
        <v>14</v>
      </c>
    </row>
    <row r="95" spans="1:2" x14ac:dyDescent="0.25">
      <c r="A95" t="s">
        <v>48</v>
      </c>
      <c r="B95">
        <v>17.649999999999999</v>
      </c>
    </row>
    <row r="96" spans="1:2" x14ac:dyDescent="0.25">
      <c r="A96" t="s">
        <v>49</v>
      </c>
      <c r="B96">
        <v>11.84</v>
      </c>
    </row>
    <row r="97" spans="1:3" x14ac:dyDescent="0.25">
      <c r="A97" t="s">
        <v>50</v>
      </c>
      <c r="B97">
        <v>12.8</v>
      </c>
    </row>
    <row r="98" spans="1:3" x14ac:dyDescent="0.25">
      <c r="A98" t="s">
        <v>53</v>
      </c>
      <c r="B98">
        <v>51.16</v>
      </c>
    </row>
    <row r="99" spans="1:3" x14ac:dyDescent="0.25">
      <c r="A99" t="s">
        <v>58</v>
      </c>
      <c r="B99">
        <v>37.81</v>
      </c>
    </row>
    <row r="100" spans="1:3" x14ac:dyDescent="0.25">
      <c r="A100" t="s">
        <v>57</v>
      </c>
      <c r="B100">
        <v>41.09</v>
      </c>
    </row>
    <row r="101" spans="1:3" x14ac:dyDescent="0.25">
      <c r="A101" t="s">
        <v>59</v>
      </c>
      <c r="B101">
        <v>53.14</v>
      </c>
    </row>
    <row r="102" spans="1:3" x14ac:dyDescent="0.25">
      <c r="A102" t="s">
        <v>60</v>
      </c>
      <c r="B102">
        <v>17.649999999999999</v>
      </c>
    </row>
    <row r="103" spans="1:3" x14ac:dyDescent="0.25">
      <c r="A103" t="s">
        <v>64</v>
      </c>
      <c r="B103">
        <v>10.78</v>
      </c>
    </row>
    <row r="104" spans="1:3" x14ac:dyDescent="0.25">
      <c r="A104" t="s">
        <v>61</v>
      </c>
      <c r="B104">
        <v>14.49</v>
      </c>
    </row>
    <row r="105" spans="1:3" x14ac:dyDescent="0.25">
      <c r="A105" t="s">
        <v>62</v>
      </c>
      <c r="B105">
        <v>22.38</v>
      </c>
    </row>
    <row r="106" spans="1:3" x14ac:dyDescent="0.25">
      <c r="A106" t="s">
        <v>63</v>
      </c>
      <c r="B106">
        <v>72.62</v>
      </c>
    </row>
    <row r="107" spans="1:3" ht="38.25" x14ac:dyDescent="0.25">
      <c r="A107" s="1" t="s">
        <v>67</v>
      </c>
      <c r="B107" s="3">
        <f>SUM(B108:B151)</f>
        <v>2382.4699999999993</v>
      </c>
      <c r="C107" s="2" t="s">
        <v>68</v>
      </c>
    </row>
    <row r="108" spans="1:3" x14ac:dyDescent="0.25">
      <c r="A108" t="s">
        <v>25</v>
      </c>
      <c r="B108">
        <v>312.70999999999998</v>
      </c>
    </row>
    <row r="109" spans="1:3" x14ac:dyDescent="0.25">
      <c r="A109" t="s">
        <v>26</v>
      </c>
      <c r="B109">
        <v>35.03</v>
      </c>
    </row>
    <row r="110" spans="1:3" x14ac:dyDescent="0.25">
      <c r="A110" t="s">
        <v>27</v>
      </c>
      <c r="B110">
        <v>19.940000000000001</v>
      </c>
    </row>
    <row r="111" spans="1:3" x14ac:dyDescent="0.25">
      <c r="A111" t="s">
        <v>28</v>
      </c>
      <c r="B111">
        <v>17.920000000000002</v>
      </c>
    </row>
    <row r="112" spans="1:3" x14ac:dyDescent="0.25">
      <c r="A112" t="s">
        <v>29</v>
      </c>
      <c r="B112">
        <v>17.28</v>
      </c>
    </row>
    <row r="113" spans="1:2" x14ac:dyDescent="0.25">
      <c r="A113" t="s">
        <v>30</v>
      </c>
      <c r="B113">
        <v>9.81</v>
      </c>
    </row>
    <row r="114" spans="1:2" x14ac:dyDescent="0.25">
      <c r="A114" t="s">
        <v>31</v>
      </c>
      <c r="B114">
        <v>8.1</v>
      </c>
    </row>
    <row r="115" spans="1:2" x14ac:dyDescent="0.25">
      <c r="A115" t="s">
        <v>32</v>
      </c>
      <c r="B115">
        <v>18.59</v>
      </c>
    </row>
    <row r="116" spans="1:2" x14ac:dyDescent="0.25">
      <c r="A116" t="s">
        <v>33</v>
      </c>
      <c r="B116">
        <v>54.38</v>
      </c>
    </row>
    <row r="117" spans="1:2" x14ac:dyDescent="0.25">
      <c r="A117" t="s">
        <v>34</v>
      </c>
      <c r="B117">
        <v>17.02</v>
      </c>
    </row>
    <row r="118" spans="1:2" x14ac:dyDescent="0.25">
      <c r="A118" t="s">
        <v>35</v>
      </c>
      <c r="B118">
        <v>32.9</v>
      </c>
    </row>
    <row r="119" spans="1:2" x14ac:dyDescent="0.25">
      <c r="A119" t="s">
        <v>36</v>
      </c>
      <c r="B119">
        <v>190.44</v>
      </c>
    </row>
    <row r="120" spans="1:2" x14ac:dyDescent="0.25">
      <c r="A120" s="17" t="s">
        <v>310</v>
      </c>
      <c r="B120" s="17">
        <v>2.56</v>
      </c>
    </row>
    <row r="121" spans="1:2" x14ac:dyDescent="0.25">
      <c r="A121" s="17" t="s">
        <v>311</v>
      </c>
      <c r="B121" s="17">
        <v>2.99</v>
      </c>
    </row>
    <row r="122" spans="1:2" x14ac:dyDescent="0.25">
      <c r="A122" s="17" t="s">
        <v>312</v>
      </c>
      <c r="B122" s="17">
        <v>2.54</v>
      </c>
    </row>
    <row r="123" spans="1:2" x14ac:dyDescent="0.25">
      <c r="A123" t="s">
        <v>37</v>
      </c>
      <c r="B123">
        <v>21.45</v>
      </c>
    </row>
    <row r="124" spans="1:2" x14ac:dyDescent="0.25">
      <c r="A124" t="s">
        <v>38</v>
      </c>
      <c r="B124">
        <v>15.68</v>
      </c>
    </row>
    <row r="125" spans="1:2" x14ac:dyDescent="0.25">
      <c r="A125" t="s">
        <v>39</v>
      </c>
      <c r="B125">
        <v>15.68</v>
      </c>
    </row>
    <row r="126" spans="1:2" x14ac:dyDescent="0.25">
      <c r="A126" t="s">
        <v>40</v>
      </c>
      <c r="B126">
        <v>8.1</v>
      </c>
    </row>
    <row r="127" spans="1:2" x14ac:dyDescent="0.25">
      <c r="A127" t="s">
        <v>41</v>
      </c>
      <c r="B127">
        <v>9.81</v>
      </c>
    </row>
    <row r="128" spans="1:2" x14ac:dyDescent="0.25">
      <c r="A128" t="s">
        <v>42</v>
      </c>
      <c r="B128">
        <v>21</v>
      </c>
    </row>
    <row r="129" spans="1:2" x14ac:dyDescent="0.25">
      <c r="A129" t="s">
        <v>43</v>
      </c>
      <c r="B129">
        <v>21.12</v>
      </c>
    </row>
    <row r="130" spans="1:2" x14ac:dyDescent="0.25">
      <c r="A130" t="s">
        <v>44</v>
      </c>
      <c r="B130">
        <v>19.21</v>
      </c>
    </row>
    <row r="131" spans="1:2" x14ac:dyDescent="0.25">
      <c r="A131" t="s">
        <v>45</v>
      </c>
      <c r="B131">
        <v>12.06</v>
      </c>
    </row>
    <row r="132" spans="1:2" x14ac:dyDescent="0.25">
      <c r="A132" t="s">
        <v>46</v>
      </c>
      <c r="B132">
        <v>672.41</v>
      </c>
    </row>
    <row r="133" spans="1:2" x14ac:dyDescent="0.25">
      <c r="A133" t="s">
        <v>47</v>
      </c>
      <c r="B133">
        <v>11.06</v>
      </c>
    </row>
    <row r="134" spans="1:2" x14ac:dyDescent="0.25">
      <c r="A134" t="s">
        <v>48</v>
      </c>
      <c r="B134">
        <v>19.46</v>
      </c>
    </row>
    <row r="135" spans="1:2" x14ac:dyDescent="0.25">
      <c r="A135" t="s">
        <v>49</v>
      </c>
      <c r="B135">
        <v>8.1</v>
      </c>
    </row>
    <row r="136" spans="1:2" x14ac:dyDescent="0.25">
      <c r="A136" t="s">
        <v>50</v>
      </c>
      <c r="B136">
        <v>9.81</v>
      </c>
    </row>
    <row r="137" spans="1:2" x14ac:dyDescent="0.25">
      <c r="A137" t="s">
        <v>51</v>
      </c>
      <c r="B137">
        <v>21</v>
      </c>
    </row>
    <row r="138" spans="1:2" x14ac:dyDescent="0.25">
      <c r="A138" t="s">
        <v>52</v>
      </c>
      <c r="B138">
        <v>21.12</v>
      </c>
    </row>
    <row r="139" spans="1:2" x14ac:dyDescent="0.25">
      <c r="A139" t="s">
        <v>53</v>
      </c>
      <c r="B139">
        <v>46.13</v>
      </c>
    </row>
    <row r="140" spans="1:2" x14ac:dyDescent="0.25">
      <c r="A140" t="s">
        <v>54</v>
      </c>
      <c r="B140">
        <v>5.26</v>
      </c>
    </row>
    <row r="141" spans="1:2" x14ac:dyDescent="0.25">
      <c r="A141" t="s">
        <v>55</v>
      </c>
      <c r="B141">
        <v>4.93</v>
      </c>
    </row>
    <row r="142" spans="1:2" x14ac:dyDescent="0.25">
      <c r="A142" t="s">
        <v>56</v>
      </c>
      <c r="B142">
        <v>20.53</v>
      </c>
    </row>
    <row r="143" spans="1:2" x14ac:dyDescent="0.25">
      <c r="A143" t="s">
        <v>58</v>
      </c>
      <c r="B143">
        <v>80.099999999999994</v>
      </c>
    </row>
    <row r="144" spans="1:2" x14ac:dyDescent="0.25">
      <c r="A144" t="s">
        <v>57</v>
      </c>
      <c r="B144">
        <v>100.6</v>
      </c>
    </row>
    <row r="145" spans="1:3" x14ac:dyDescent="0.25">
      <c r="A145" t="s">
        <v>59</v>
      </c>
      <c r="B145">
        <v>143.32</v>
      </c>
    </row>
    <row r="146" spans="1:3" x14ac:dyDescent="0.25">
      <c r="A146" t="s">
        <v>60</v>
      </c>
      <c r="B146">
        <v>19.46</v>
      </c>
    </row>
    <row r="147" spans="1:3" x14ac:dyDescent="0.25">
      <c r="A147" t="s">
        <v>64</v>
      </c>
      <c r="B147">
        <v>7.01</v>
      </c>
    </row>
    <row r="148" spans="1:3" x14ac:dyDescent="0.25">
      <c r="A148" t="s">
        <v>61</v>
      </c>
      <c r="B148">
        <v>13.08</v>
      </c>
    </row>
    <row r="149" spans="1:3" x14ac:dyDescent="0.25">
      <c r="A149" t="s">
        <v>62</v>
      </c>
      <c r="B149">
        <v>30.92</v>
      </c>
    </row>
    <row r="150" spans="1:3" x14ac:dyDescent="0.25">
      <c r="A150" t="s">
        <v>63</v>
      </c>
      <c r="B150">
        <v>225.85</v>
      </c>
    </row>
    <row r="151" spans="1:3" x14ac:dyDescent="0.25">
      <c r="A151" t="s">
        <v>65</v>
      </c>
      <c r="B151">
        <v>36</v>
      </c>
    </row>
    <row r="152" spans="1:3" ht="38.25" x14ac:dyDescent="0.25">
      <c r="A152" s="1" t="s">
        <v>69</v>
      </c>
      <c r="B152" s="3">
        <f>SUM(B153:B195)</f>
        <v>2379.4799999999996</v>
      </c>
      <c r="C152" s="2" t="s">
        <v>68</v>
      </c>
    </row>
    <row r="153" spans="1:3" x14ac:dyDescent="0.25">
      <c r="A153" t="s">
        <v>25</v>
      </c>
      <c r="B153">
        <v>312.70999999999998</v>
      </c>
    </row>
    <row r="154" spans="1:3" x14ac:dyDescent="0.25">
      <c r="A154" t="s">
        <v>26</v>
      </c>
      <c r="B154">
        <v>35.03</v>
      </c>
    </row>
    <row r="155" spans="1:3" x14ac:dyDescent="0.25">
      <c r="A155" t="s">
        <v>27</v>
      </c>
      <c r="B155">
        <v>19.940000000000001</v>
      </c>
    </row>
    <row r="156" spans="1:3" x14ac:dyDescent="0.25">
      <c r="A156" t="s">
        <v>28</v>
      </c>
      <c r="B156">
        <v>17.920000000000002</v>
      </c>
    </row>
    <row r="157" spans="1:3" x14ac:dyDescent="0.25">
      <c r="A157" t="s">
        <v>29</v>
      </c>
      <c r="B157">
        <v>17.28</v>
      </c>
    </row>
    <row r="158" spans="1:3" x14ac:dyDescent="0.25">
      <c r="A158" t="s">
        <v>30</v>
      </c>
      <c r="B158">
        <v>9.81</v>
      </c>
    </row>
    <row r="159" spans="1:3" x14ac:dyDescent="0.25">
      <c r="A159" t="s">
        <v>31</v>
      </c>
      <c r="B159">
        <v>8.1</v>
      </c>
    </row>
    <row r="160" spans="1:3" x14ac:dyDescent="0.25">
      <c r="A160" t="s">
        <v>32</v>
      </c>
      <c r="B160">
        <v>18.59</v>
      </c>
    </row>
    <row r="161" spans="1:2" x14ac:dyDescent="0.25">
      <c r="A161" t="s">
        <v>33</v>
      </c>
      <c r="B161">
        <v>54.38</v>
      </c>
    </row>
    <row r="162" spans="1:2" x14ac:dyDescent="0.25">
      <c r="A162" t="s">
        <v>34</v>
      </c>
      <c r="B162">
        <v>17.02</v>
      </c>
    </row>
    <row r="163" spans="1:2" x14ac:dyDescent="0.25">
      <c r="A163" t="s">
        <v>35</v>
      </c>
      <c r="B163">
        <v>32.9</v>
      </c>
    </row>
    <row r="164" spans="1:2" x14ac:dyDescent="0.25">
      <c r="A164" t="s">
        <v>305</v>
      </c>
      <c r="B164">
        <v>2.54</v>
      </c>
    </row>
    <row r="165" spans="1:2" x14ac:dyDescent="0.25">
      <c r="A165" t="s">
        <v>306</v>
      </c>
      <c r="B165">
        <v>2.56</v>
      </c>
    </row>
    <row r="166" spans="1:2" x14ac:dyDescent="0.25">
      <c r="A166" t="s">
        <v>36</v>
      </c>
      <c r="B166">
        <v>190.44</v>
      </c>
    </row>
    <row r="167" spans="1:2" x14ac:dyDescent="0.25">
      <c r="A167" t="s">
        <v>37</v>
      </c>
      <c r="B167">
        <v>21.45</v>
      </c>
    </row>
    <row r="168" spans="1:2" x14ac:dyDescent="0.25">
      <c r="A168" t="s">
        <v>38</v>
      </c>
      <c r="B168">
        <v>15.68</v>
      </c>
    </row>
    <row r="169" spans="1:2" x14ac:dyDescent="0.25">
      <c r="A169" t="s">
        <v>39</v>
      </c>
      <c r="B169">
        <v>15.68</v>
      </c>
    </row>
    <row r="170" spans="1:2" x14ac:dyDescent="0.25">
      <c r="A170" t="s">
        <v>40</v>
      </c>
      <c r="B170">
        <v>8.1</v>
      </c>
    </row>
    <row r="171" spans="1:2" x14ac:dyDescent="0.25">
      <c r="A171" t="s">
        <v>41</v>
      </c>
      <c r="B171">
        <v>9.81</v>
      </c>
    </row>
    <row r="172" spans="1:2" x14ac:dyDescent="0.25">
      <c r="A172" t="s">
        <v>42</v>
      </c>
      <c r="B172">
        <v>21</v>
      </c>
    </row>
    <row r="173" spans="1:2" x14ac:dyDescent="0.25">
      <c r="A173" t="s">
        <v>43</v>
      </c>
      <c r="B173">
        <v>21.12</v>
      </c>
    </row>
    <row r="174" spans="1:2" x14ac:dyDescent="0.25">
      <c r="A174" t="s">
        <v>44</v>
      </c>
      <c r="B174">
        <v>19.21</v>
      </c>
    </row>
    <row r="175" spans="1:2" x14ac:dyDescent="0.25">
      <c r="A175" t="s">
        <v>45</v>
      </c>
      <c r="B175">
        <v>12.06</v>
      </c>
    </row>
    <row r="176" spans="1:2" x14ac:dyDescent="0.25">
      <c r="A176" t="s">
        <v>46</v>
      </c>
      <c r="B176">
        <v>672.41</v>
      </c>
    </row>
    <row r="177" spans="1:2" x14ac:dyDescent="0.25">
      <c r="A177" t="s">
        <v>47</v>
      </c>
      <c r="B177">
        <v>11.06</v>
      </c>
    </row>
    <row r="178" spans="1:2" x14ac:dyDescent="0.25">
      <c r="A178" t="s">
        <v>48</v>
      </c>
      <c r="B178">
        <v>19.46</v>
      </c>
    </row>
    <row r="179" spans="1:2" x14ac:dyDescent="0.25">
      <c r="A179" t="s">
        <v>49</v>
      </c>
      <c r="B179">
        <v>8.1</v>
      </c>
    </row>
    <row r="180" spans="1:2" x14ac:dyDescent="0.25">
      <c r="A180" t="s">
        <v>50</v>
      </c>
      <c r="B180">
        <v>9.81</v>
      </c>
    </row>
    <row r="181" spans="1:2" x14ac:dyDescent="0.25">
      <c r="A181" t="s">
        <v>51</v>
      </c>
      <c r="B181">
        <v>21</v>
      </c>
    </row>
    <row r="182" spans="1:2" x14ac:dyDescent="0.25">
      <c r="A182" t="s">
        <v>52</v>
      </c>
      <c r="B182">
        <v>21.12</v>
      </c>
    </row>
    <row r="183" spans="1:2" x14ac:dyDescent="0.25">
      <c r="A183" t="s">
        <v>53</v>
      </c>
      <c r="B183">
        <v>46.13</v>
      </c>
    </row>
    <row r="184" spans="1:2" x14ac:dyDescent="0.25">
      <c r="A184" t="s">
        <v>54</v>
      </c>
      <c r="B184">
        <v>5.26</v>
      </c>
    </row>
    <row r="185" spans="1:2" x14ac:dyDescent="0.25">
      <c r="A185" t="s">
        <v>55</v>
      </c>
      <c r="B185">
        <v>4.93</v>
      </c>
    </row>
    <row r="186" spans="1:2" x14ac:dyDescent="0.25">
      <c r="A186" t="s">
        <v>56</v>
      </c>
      <c r="B186">
        <v>20.53</v>
      </c>
    </row>
    <row r="187" spans="1:2" x14ac:dyDescent="0.25">
      <c r="A187" t="s">
        <v>58</v>
      </c>
      <c r="B187">
        <v>80.099999999999994</v>
      </c>
    </row>
    <row r="188" spans="1:2" x14ac:dyDescent="0.25">
      <c r="A188" t="s">
        <v>57</v>
      </c>
      <c r="B188">
        <v>100.6</v>
      </c>
    </row>
    <row r="189" spans="1:2" x14ac:dyDescent="0.25">
      <c r="A189" t="s">
        <v>59</v>
      </c>
      <c r="B189">
        <v>143.32</v>
      </c>
    </row>
    <row r="190" spans="1:2" x14ac:dyDescent="0.25">
      <c r="A190" t="s">
        <v>60</v>
      </c>
      <c r="B190">
        <v>19.46</v>
      </c>
    </row>
    <row r="191" spans="1:2" x14ac:dyDescent="0.25">
      <c r="A191" t="s">
        <v>64</v>
      </c>
      <c r="B191">
        <v>7.01</v>
      </c>
    </row>
    <row r="192" spans="1:2" x14ac:dyDescent="0.25">
      <c r="A192" t="s">
        <v>61</v>
      </c>
      <c r="B192">
        <v>13.08</v>
      </c>
    </row>
    <row r="193" spans="1:3" x14ac:dyDescent="0.25">
      <c r="A193" t="s">
        <v>62</v>
      </c>
      <c r="B193">
        <v>30.92</v>
      </c>
    </row>
    <row r="194" spans="1:3" x14ac:dyDescent="0.25">
      <c r="A194" t="s">
        <v>63</v>
      </c>
      <c r="B194">
        <v>225.85</v>
      </c>
    </row>
    <row r="195" spans="1:3" x14ac:dyDescent="0.25">
      <c r="A195" t="s">
        <v>65</v>
      </c>
      <c r="B195">
        <v>36</v>
      </c>
    </row>
    <row r="196" spans="1:3" ht="25.5" x14ac:dyDescent="0.25">
      <c r="A196" s="1" t="s">
        <v>22</v>
      </c>
      <c r="B196" s="3">
        <f>((B25*0.1)+(B23)+(B14*0.2)+(B8*0.1)+(B79*0.1*0.1)+(B107+0.1)+(B152*0.2))*400</f>
        <v>1250744.6839999997</v>
      </c>
      <c r="C196" s="2" t="s">
        <v>24</v>
      </c>
    </row>
    <row r="197" spans="1:3" x14ac:dyDescent="0.25">
      <c r="A197" s="1" t="s">
        <v>23</v>
      </c>
      <c r="B197" s="3">
        <f>((B25*0.025)+(B23)+(B14*0.2)+(B8*0.1)+(B79*0.1*0.025)+(B107+0.1)+(B152*0.05))/5</f>
        <v>515.61969699999986</v>
      </c>
      <c r="C197" s="2" t="s">
        <v>6</v>
      </c>
    </row>
  </sheetData>
  <phoneticPr fontId="2" type="noConversion"/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4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1" max="1" width="50.5703125" customWidth="1"/>
    <col min="2" max="3" width="11.28515625" customWidth="1"/>
  </cols>
  <sheetData>
    <row r="2" spans="1:3" ht="25.5" x14ac:dyDescent="0.25">
      <c r="A2" s="1" t="s">
        <v>70</v>
      </c>
      <c r="B2" s="3">
        <f>(B3+B4+B5+B6+B7+B8)*2.2</f>
        <v>132</v>
      </c>
      <c r="C2" s="2" t="s">
        <v>77</v>
      </c>
    </row>
    <row r="3" spans="1:3" x14ac:dyDescent="0.25">
      <c r="A3" t="s">
        <v>72</v>
      </c>
      <c r="B3">
        <f>5+5</f>
        <v>10</v>
      </c>
    </row>
    <row r="4" spans="1:3" x14ac:dyDescent="0.25">
      <c r="A4" t="s">
        <v>71</v>
      </c>
      <c r="B4">
        <v>10</v>
      </c>
    </row>
    <row r="5" spans="1:3" x14ac:dyDescent="0.25">
      <c r="A5" t="s">
        <v>73</v>
      </c>
      <c r="B5">
        <f>5+5</f>
        <v>10</v>
      </c>
    </row>
    <row r="6" spans="1:3" x14ac:dyDescent="0.25">
      <c r="A6" t="s">
        <v>74</v>
      </c>
      <c r="B6">
        <v>10</v>
      </c>
    </row>
    <row r="7" spans="1:3" x14ac:dyDescent="0.25">
      <c r="A7" t="s">
        <v>75</v>
      </c>
      <c r="B7">
        <f>5+5</f>
        <v>10</v>
      </c>
    </row>
    <row r="8" spans="1:3" x14ac:dyDescent="0.25">
      <c r="A8" t="s">
        <v>76</v>
      </c>
      <c r="B8">
        <v>10</v>
      </c>
    </row>
    <row r="12" spans="1:3" x14ac:dyDescent="0.25">
      <c r="A12" s="1" t="s">
        <v>204</v>
      </c>
      <c r="B12" s="3">
        <f>((B13*2)+(B14*2))*2.2</f>
        <v>398.42</v>
      </c>
      <c r="C12" s="2" t="s">
        <v>77</v>
      </c>
    </row>
    <row r="13" spans="1:3" x14ac:dyDescent="0.25">
      <c r="A13" t="s">
        <v>205</v>
      </c>
      <c r="B13">
        <f>37.9+5+5</f>
        <v>47.9</v>
      </c>
    </row>
    <row r="14" spans="1:3" x14ac:dyDescent="0.25">
      <c r="A14" t="s">
        <v>206</v>
      </c>
      <c r="B14">
        <f>32.65+5+5</f>
        <v>42.65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0"/>
  <sheetViews>
    <sheetView view="pageBreakPreview" topLeftCell="A115" zoomScale="60" zoomScaleNormal="100" workbookViewId="0">
      <selection activeCell="A134" sqref="A134:B136"/>
    </sheetView>
  </sheetViews>
  <sheetFormatPr defaultRowHeight="15" x14ac:dyDescent="0.25"/>
  <cols>
    <col min="1" max="1" width="50.5703125" customWidth="1"/>
    <col min="2" max="3" width="11.28515625" customWidth="1"/>
    <col min="6" max="6" width="48.7109375" customWidth="1"/>
    <col min="8" max="8" width="14.85546875" customWidth="1"/>
    <col min="9" max="9" width="9.5703125" bestFit="1" customWidth="1"/>
  </cols>
  <sheetData>
    <row r="1" spans="1:9" ht="25.5" x14ac:dyDescent="0.25">
      <c r="A1" s="1" t="s">
        <v>106</v>
      </c>
      <c r="B1" s="3">
        <f>SUM(B2:B47)</f>
        <v>685.26499999999999</v>
      </c>
      <c r="C1" s="2" t="s">
        <v>77</v>
      </c>
      <c r="F1" s="1" t="s">
        <v>297</v>
      </c>
      <c r="G1" s="3">
        <f>((SUM(G2:G16))*3)-((SUM(H2:H16)))</f>
        <v>466.41000000000008</v>
      </c>
      <c r="H1" s="3" t="s">
        <v>404</v>
      </c>
      <c r="I1" s="2" t="s">
        <v>290</v>
      </c>
    </row>
    <row r="2" spans="1:9" x14ac:dyDescent="0.25">
      <c r="A2" t="s">
        <v>14</v>
      </c>
      <c r="B2">
        <f>2*3.5</f>
        <v>7</v>
      </c>
      <c r="E2" t="s">
        <v>363</v>
      </c>
      <c r="F2" t="s">
        <v>364</v>
      </c>
      <c r="G2">
        <v>20.67</v>
      </c>
      <c r="H2">
        <f>(1*0.6*1.2)+(2*0.6*0.6)+(0.9*2.1)</f>
        <v>3.33</v>
      </c>
      <c r="I2" t="s">
        <v>5</v>
      </c>
    </row>
    <row r="3" spans="1:9" x14ac:dyDescent="0.25">
      <c r="A3" t="s">
        <v>107</v>
      </c>
      <c r="B3">
        <f>2*3.5</f>
        <v>7</v>
      </c>
      <c r="E3" t="s">
        <v>363</v>
      </c>
      <c r="F3" t="s">
        <v>365</v>
      </c>
      <c r="G3">
        <v>20.71</v>
      </c>
      <c r="H3">
        <f>(2*1.2*0.6)+(0.9*2.1)</f>
        <v>3.33</v>
      </c>
      <c r="I3" t="s">
        <v>5</v>
      </c>
    </row>
    <row r="4" spans="1:9" x14ac:dyDescent="0.25">
      <c r="A4" t="s">
        <v>10</v>
      </c>
      <c r="B4">
        <f>4.5*3.5</f>
        <v>15.75</v>
      </c>
      <c r="E4" t="s">
        <v>363</v>
      </c>
      <c r="F4" t="s">
        <v>366</v>
      </c>
      <c r="G4">
        <f xml:space="preserve"> 3.85+2.55</f>
        <v>6.4</v>
      </c>
      <c r="H4">
        <f>1.5*1.1</f>
        <v>1.6500000000000001</v>
      </c>
      <c r="I4" t="s">
        <v>5</v>
      </c>
    </row>
    <row r="5" spans="1:9" x14ac:dyDescent="0.25">
      <c r="A5" t="s">
        <v>108</v>
      </c>
      <c r="B5">
        <f>4.2*3.5</f>
        <v>14.700000000000001</v>
      </c>
      <c r="E5" t="s">
        <v>363</v>
      </c>
      <c r="F5" t="s">
        <v>368</v>
      </c>
      <c r="G5">
        <v>6.35</v>
      </c>
      <c r="H5">
        <f>(1.2*0.6)+(0.8*2.1)</f>
        <v>2.4000000000000004</v>
      </c>
      <c r="I5" t="s">
        <v>5</v>
      </c>
    </row>
    <row r="6" spans="1:9" x14ac:dyDescent="0.25">
      <c r="A6" t="s">
        <v>109</v>
      </c>
      <c r="B6">
        <f>2*3.5</f>
        <v>7</v>
      </c>
      <c r="E6" t="s">
        <v>363</v>
      </c>
      <c r="F6" t="s">
        <v>369</v>
      </c>
      <c r="G6">
        <v>2.56</v>
      </c>
      <c r="I6" t="s">
        <v>5</v>
      </c>
    </row>
    <row r="7" spans="1:9" x14ac:dyDescent="0.25">
      <c r="A7" t="s">
        <v>110</v>
      </c>
      <c r="B7">
        <f>1.2*3.5</f>
        <v>4.2</v>
      </c>
      <c r="E7" t="s">
        <v>363</v>
      </c>
      <c r="F7" t="s">
        <v>364</v>
      </c>
      <c r="G7">
        <v>6.4</v>
      </c>
      <c r="H7">
        <f>(1.2*0.6)+(0.8*2.1)</f>
        <v>2.4000000000000004</v>
      </c>
      <c r="I7" t="s">
        <v>5</v>
      </c>
    </row>
    <row r="8" spans="1:9" x14ac:dyDescent="0.25">
      <c r="A8" t="s">
        <v>111</v>
      </c>
      <c r="B8">
        <f>(5.7+4.56)*3.5</f>
        <v>35.909999999999997</v>
      </c>
      <c r="E8" t="s">
        <v>370</v>
      </c>
      <c r="F8" t="s">
        <v>371</v>
      </c>
      <c r="G8">
        <v>21.46</v>
      </c>
      <c r="H8">
        <f>H2</f>
        <v>3.33</v>
      </c>
      <c r="I8" t="s">
        <v>5</v>
      </c>
    </row>
    <row r="9" spans="1:9" x14ac:dyDescent="0.25">
      <c r="A9" t="s">
        <v>112</v>
      </c>
      <c r="B9">
        <f>2*3.5</f>
        <v>7</v>
      </c>
      <c r="E9" t="s">
        <v>370</v>
      </c>
      <c r="F9" t="s">
        <v>372</v>
      </c>
      <c r="G9">
        <v>23.21</v>
      </c>
      <c r="H9">
        <f>H3</f>
        <v>3.33</v>
      </c>
      <c r="I9" t="s">
        <v>5</v>
      </c>
    </row>
    <row r="10" spans="1:9" x14ac:dyDescent="0.25">
      <c r="A10" t="s">
        <v>105</v>
      </c>
      <c r="B10">
        <f>2*3.5</f>
        <v>7</v>
      </c>
      <c r="E10" t="s">
        <v>370</v>
      </c>
      <c r="F10" t="s">
        <v>373</v>
      </c>
      <c r="G10">
        <f xml:space="preserve"> 3.85+2.55</f>
        <v>6.4</v>
      </c>
      <c r="H10">
        <f>H4</f>
        <v>1.6500000000000001</v>
      </c>
      <c r="I10" t="s">
        <v>5</v>
      </c>
    </row>
    <row r="11" spans="1:9" x14ac:dyDescent="0.25">
      <c r="A11" t="s">
        <v>16</v>
      </c>
      <c r="B11">
        <f>4.26*3.5</f>
        <v>14.91</v>
      </c>
      <c r="E11" t="s">
        <v>375</v>
      </c>
      <c r="F11" t="s">
        <v>364</v>
      </c>
      <c r="G11">
        <v>21.59</v>
      </c>
      <c r="H11">
        <f>H2</f>
        <v>3.33</v>
      </c>
      <c r="I11" t="s">
        <v>5</v>
      </c>
    </row>
    <row r="12" spans="1:9" x14ac:dyDescent="0.25">
      <c r="A12" t="s">
        <v>113</v>
      </c>
      <c r="B12">
        <f>4.26*3.5</f>
        <v>14.91</v>
      </c>
      <c r="E12" t="s">
        <v>375</v>
      </c>
      <c r="F12" t="s">
        <v>368</v>
      </c>
      <c r="G12">
        <v>23.23</v>
      </c>
      <c r="H12">
        <f>H3</f>
        <v>3.33</v>
      </c>
      <c r="I12" t="s">
        <v>5</v>
      </c>
    </row>
    <row r="13" spans="1:9" x14ac:dyDescent="0.25">
      <c r="A13" t="s">
        <v>114</v>
      </c>
      <c r="B13">
        <f>4.74*3.5</f>
        <v>16.59</v>
      </c>
      <c r="E13" t="s">
        <v>375</v>
      </c>
      <c r="F13" t="s">
        <v>376</v>
      </c>
      <c r="G13">
        <f xml:space="preserve"> 3.85+2.55</f>
        <v>6.4</v>
      </c>
      <c r="H13">
        <f>H4</f>
        <v>1.6500000000000001</v>
      </c>
      <c r="I13" t="s">
        <v>5</v>
      </c>
    </row>
    <row r="14" spans="1:9" x14ac:dyDescent="0.25">
      <c r="A14" t="s">
        <v>115</v>
      </c>
      <c r="B14">
        <f>4.78*3.5</f>
        <v>16.73</v>
      </c>
    </row>
    <row r="15" spans="1:9" x14ac:dyDescent="0.25">
      <c r="A15" t="s">
        <v>116</v>
      </c>
      <c r="B15">
        <f>4.78*3.5</f>
        <v>16.73</v>
      </c>
    </row>
    <row r="16" spans="1:9" x14ac:dyDescent="0.25">
      <c r="A16" t="s">
        <v>17</v>
      </c>
      <c r="B16">
        <f>3.08*3.5</f>
        <v>10.780000000000001</v>
      </c>
    </row>
    <row r="17" spans="1:8" x14ac:dyDescent="0.25">
      <c r="A17" t="s">
        <v>117</v>
      </c>
      <c r="B17">
        <f>8.3*3.5</f>
        <v>29.050000000000004</v>
      </c>
    </row>
    <row r="18" spans="1:8" x14ac:dyDescent="0.25">
      <c r="A18" t="s">
        <v>118</v>
      </c>
      <c r="B18">
        <f>4.71*3.5</f>
        <v>16.484999999999999</v>
      </c>
    </row>
    <row r="19" spans="1:8" x14ac:dyDescent="0.25">
      <c r="A19" t="s">
        <v>119</v>
      </c>
      <c r="B19">
        <f>2*3.5</f>
        <v>7</v>
      </c>
    </row>
    <row r="20" spans="1:8" x14ac:dyDescent="0.25">
      <c r="A20" t="s">
        <v>120</v>
      </c>
      <c r="B20">
        <f t="shared" ref="B20:B27" si="0">2*3.5</f>
        <v>7</v>
      </c>
    </row>
    <row r="21" spans="1:8" x14ac:dyDescent="0.25">
      <c r="A21" t="s">
        <v>121</v>
      </c>
      <c r="B21">
        <f t="shared" si="0"/>
        <v>7</v>
      </c>
    </row>
    <row r="22" spans="1:8" x14ac:dyDescent="0.25">
      <c r="A22" t="s">
        <v>122</v>
      </c>
      <c r="B22">
        <f t="shared" si="0"/>
        <v>7</v>
      </c>
    </row>
    <row r="23" spans="1:8" x14ac:dyDescent="0.25">
      <c r="A23" t="s">
        <v>123</v>
      </c>
      <c r="B23">
        <f t="shared" si="0"/>
        <v>7</v>
      </c>
    </row>
    <row r="24" spans="1:8" x14ac:dyDescent="0.25">
      <c r="A24" t="s">
        <v>124</v>
      </c>
      <c r="B24">
        <f t="shared" si="0"/>
        <v>7</v>
      </c>
    </row>
    <row r="25" spans="1:8" x14ac:dyDescent="0.25">
      <c r="A25" t="s">
        <v>125</v>
      </c>
      <c r="B25">
        <f t="shared" si="0"/>
        <v>7</v>
      </c>
    </row>
    <row r="26" spans="1:8" x14ac:dyDescent="0.25">
      <c r="A26" t="s">
        <v>126</v>
      </c>
      <c r="B26">
        <f t="shared" si="0"/>
        <v>7</v>
      </c>
    </row>
    <row r="27" spans="1:8" x14ac:dyDescent="0.25">
      <c r="A27" t="s">
        <v>127</v>
      </c>
      <c r="B27">
        <f t="shared" si="0"/>
        <v>7</v>
      </c>
    </row>
    <row r="28" spans="1:8" x14ac:dyDescent="0.25">
      <c r="A28" t="s">
        <v>128</v>
      </c>
      <c r="B28">
        <f>3.87*3.5</f>
        <v>13.545</v>
      </c>
      <c r="F28" s="1" t="s">
        <v>289</v>
      </c>
      <c r="G28" s="3">
        <f>(SUM(G29:G37))</f>
        <v>647.43000000000006</v>
      </c>
      <c r="H28" s="2" t="s">
        <v>5</v>
      </c>
    </row>
    <row r="29" spans="1:8" x14ac:dyDescent="0.25">
      <c r="A29" t="s">
        <v>129</v>
      </c>
      <c r="B29">
        <f>2.53*3.5</f>
        <v>8.8549999999999986</v>
      </c>
      <c r="F29" t="s">
        <v>30</v>
      </c>
      <c r="G29">
        <f>12.8-G4</f>
        <v>6.4</v>
      </c>
      <c r="H29" t="s">
        <v>5</v>
      </c>
    </row>
    <row r="30" spans="1:8" x14ac:dyDescent="0.25">
      <c r="A30" t="s">
        <v>130</v>
      </c>
      <c r="B30">
        <f>1.2*3.5</f>
        <v>4.2</v>
      </c>
      <c r="F30" t="s">
        <v>41</v>
      </c>
      <c r="G30">
        <f>12.8-G10</f>
        <v>6.4</v>
      </c>
      <c r="H30" t="s">
        <v>5</v>
      </c>
    </row>
    <row r="31" spans="1:8" x14ac:dyDescent="0.25">
      <c r="A31" t="s">
        <v>11</v>
      </c>
      <c r="B31">
        <f>1.3*3.5</f>
        <v>4.55</v>
      </c>
      <c r="F31" t="s">
        <v>50</v>
      </c>
      <c r="G31">
        <f>12.8-G13</f>
        <v>6.4</v>
      </c>
      <c r="H31" t="s">
        <v>5</v>
      </c>
    </row>
    <row r="32" spans="1:8" x14ac:dyDescent="0.25">
      <c r="A32" t="s">
        <v>131</v>
      </c>
      <c r="B32">
        <f>2.85*3.5</f>
        <v>9.9749999999999996</v>
      </c>
      <c r="F32" t="s">
        <v>291</v>
      </c>
      <c r="G32">
        <v>98.26</v>
      </c>
      <c r="H32" t="s">
        <v>5</v>
      </c>
    </row>
    <row r="33" spans="1:8" x14ac:dyDescent="0.25">
      <c r="A33" t="s">
        <v>132</v>
      </c>
      <c r="B33">
        <f>4.13*3.5</f>
        <v>14.455</v>
      </c>
      <c r="F33" t="s">
        <v>292</v>
      </c>
      <c r="G33">
        <v>33.130000000000003</v>
      </c>
      <c r="H33" t="s">
        <v>5</v>
      </c>
    </row>
    <row r="34" spans="1:8" x14ac:dyDescent="0.25">
      <c r="A34" t="s">
        <v>133</v>
      </c>
      <c r="B34">
        <f>4.77*3.5</f>
        <v>16.695</v>
      </c>
      <c r="F34" t="s">
        <v>293</v>
      </c>
      <c r="G34">
        <v>12.24</v>
      </c>
      <c r="H34" t="s">
        <v>5</v>
      </c>
    </row>
    <row r="35" spans="1:8" x14ac:dyDescent="0.25">
      <c r="A35" t="s">
        <v>134</v>
      </c>
      <c r="B35">
        <f>12.5*3.5</f>
        <v>43.75</v>
      </c>
      <c r="F35" t="s">
        <v>294</v>
      </c>
      <c r="G35">
        <v>76.06</v>
      </c>
      <c r="H35" t="s">
        <v>5</v>
      </c>
    </row>
    <row r="36" spans="1:8" x14ac:dyDescent="0.25">
      <c r="A36" t="s">
        <v>135</v>
      </c>
      <c r="B36">
        <f>11.78*3.5</f>
        <v>41.23</v>
      </c>
      <c r="F36" t="s">
        <v>295</v>
      </c>
      <c r="G36">
        <v>203.99</v>
      </c>
      <c r="H36" t="s">
        <v>5</v>
      </c>
    </row>
    <row r="37" spans="1:8" x14ac:dyDescent="0.25">
      <c r="A37" t="s">
        <v>136</v>
      </c>
      <c r="B37">
        <f>12.5*3.5</f>
        <v>43.75</v>
      </c>
      <c r="F37" t="s">
        <v>296</v>
      </c>
      <c r="G37">
        <v>204.55</v>
      </c>
      <c r="H37" t="s">
        <v>5</v>
      </c>
    </row>
    <row r="38" spans="1:8" x14ac:dyDescent="0.25">
      <c r="A38" t="s">
        <v>137</v>
      </c>
      <c r="B38">
        <f>6.48*3.5</f>
        <v>22.68</v>
      </c>
    </row>
    <row r="39" spans="1:8" x14ac:dyDescent="0.25">
      <c r="A39" t="s">
        <v>138</v>
      </c>
      <c r="B39">
        <f>(2.47+2.6)*3.5</f>
        <v>17.745000000000001</v>
      </c>
    </row>
    <row r="40" spans="1:8" x14ac:dyDescent="0.25">
      <c r="A40" t="s">
        <v>139</v>
      </c>
      <c r="B40">
        <f>6.3*3.5</f>
        <v>22.05</v>
      </c>
    </row>
    <row r="41" spans="1:8" x14ac:dyDescent="0.25">
      <c r="A41" t="s">
        <v>140</v>
      </c>
      <c r="B41">
        <f>9.82*3.5</f>
        <v>34.370000000000005</v>
      </c>
    </row>
    <row r="42" spans="1:8" x14ac:dyDescent="0.25">
      <c r="A42" t="s">
        <v>141</v>
      </c>
      <c r="B42">
        <f>2.32*3.5</f>
        <v>8.1199999999999992</v>
      </c>
    </row>
    <row r="43" spans="1:8" x14ac:dyDescent="0.25">
      <c r="A43" t="s">
        <v>142</v>
      </c>
      <c r="B43">
        <f>3.96*3.5</f>
        <v>13.86</v>
      </c>
    </row>
    <row r="44" spans="1:8" x14ac:dyDescent="0.25">
      <c r="A44" t="s">
        <v>143</v>
      </c>
      <c r="B44">
        <f>1.37*3.5</f>
        <v>4.7949999999999999</v>
      </c>
    </row>
    <row r="45" spans="1:8" x14ac:dyDescent="0.25">
      <c r="A45" t="s">
        <v>144</v>
      </c>
      <c r="B45">
        <f>5.97*3.5</f>
        <v>20.895</v>
      </c>
    </row>
    <row r="46" spans="1:8" x14ac:dyDescent="0.25">
      <c r="A46" t="s">
        <v>145</v>
      </c>
      <c r="B46">
        <f>5*3.5</f>
        <v>17.5</v>
      </c>
    </row>
    <row r="47" spans="1:8" x14ac:dyDescent="0.25">
      <c r="A47" t="s">
        <v>146</v>
      </c>
      <c r="B47">
        <f>5*3.5</f>
        <v>17.5</v>
      </c>
    </row>
    <row r="48" spans="1:8" ht="25.5" x14ac:dyDescent="0.25">
      <c r="A48" s="1" t="s">
        <v>200</v>
      </c>
      <c r="B48" s="3">
        <f>SUM(B49:B67)</f>
        <v>251.98999999999998</v>
      </c>
      <c r="C48" s="2" t="s">
        <v>77</v>
      </c>
    </row>
    <row r="49" spans="1:2" x14ac:dyDescent="0.25">
      <c r="A49" t="s">
        <v>310</v>
      </c>
      <c r="B49">
        <v>17.91</v>
      </c>
    </row>
    <row r="50" spans="1:2" x14ac:dyDescent="0.25">
      <c r="A50" t="s">
        <v>314</v>
      </c>
      <c r="B50">
        <v>17.38</v>
      </c>
    </row>
    <row r="51" spans="1:2" x14ac:dyDescent="0.25">
      <c r="A51" t="s">
        <v>313</v>
      </c>
      <c r="B51">
        <v>9.81</v>
      </c>
    </row>
    <row r="52" spans="1:2" x14ac:dyDescent="0.25">
      <c r="A52" t="s">
        <v>31</v>
      </c>
      <c r="B52">
        <v>8.1</v>
      </c>
    </row>
    <row r="53" spans="1:2" x14ac:dyDescent="0.25">
      <c r="A53" t="s">
        <v>312</v>
      </c>
      <c r="B53">
        <v>2.54</v>
      </c>
    </row>
    <row r="54" spans="1:2" x14ac:dyDescent="0.25">
      <c r="A54" t="s">
        <v>311</v>
      </c>
      <c r="B54">
        <v>2.99</v>
      </c>
    </row>
    <row r="55" spans="1:2" x14ac:dyDescent="0.25">
      <c r="A55" t="s">
        <v>310</v>
      </c>
      <c r="B55">
        <v>2.56</v>
      </c>
    </row>
    <row r="56" spans="1:2" x14ac:dyDescent="0.25">
      <c r="A56" t="s">
        <v>319</v>
      </c>
      <c r="B56">
        <v>20.78</v>
      </c>
    </row>
    <row r="57" spans="1:2" x14ac:dyDescent="0.25">
      <c r="A57" t="s">
        <v>318</v>
      </c>
      <c r="B57">
        <v>20.61</v>
      </c>
    </row>
    <row r="58" spans="1:2" x14ac:dyDescent="0.25">
      <c r="A58" t="s">
        <v>317</v>
      </c>
      <c r="B58">
        <v>9.81</v>
      </c>
    </row>
    <row r="59" spans="1:2" x14ac:dyDescent="0.25">
      <c r="A59" t="s">
        <v>316</v>
      </c>
      <c r="B59">
        <v>8.1</v>
      </c>
    </row>
    <row r="60" spans="1:2" x14ac:dyDescent="0.25">
      <c r="A60" t="s">
        <v>315</v>
      </c>
      <c r="B60">
        <v>36</v>
      </c>
    </row>
    <row r="61" spans="1:2" x14ac:dyDescent="0.25">
      <c r="A61" t="s">
        <v>322</v>
      </c>
      <c r="B61">
        <v>20.8</v>
      </c>
    </row>
    <row r="62" spans="1:2" x14ac:dyDescent="0.25">
      <c r="A62" t="s">
        <v>321</v>
      </c>
      <c r="B62">
        <v>20.61</v>
      </c>
    </row>
    <row r="63" spans="1:2" x14ac:dyDescent="0.25">
      <c r="A63" t="s">
        <v>320</v>
      </c>
      <c r="B63">
        <v>9.89</v>
      </c>
    </row>
    <row r="64" spans="1:2" x14ac:dyDescent="0.25">
      <c r="A64" t="s">
        <v>49</v>
      </c>
      <c r="B64">
        <v>8.1</v>
      </c>
    </row>
    <row r="65" spans="1:3" x14ac:dyDescent="0.25">
      <c r="A65" t="s">
        <v>266</v>
      </c>
      <c r="B65">
        <v>36</v>
      </c>
    </row>
    <row r="68" spans="1:3" ht="38.25" x14ac:dyDescent="0.25">
      <c r="A68" s="1" t="s">
        <v>78</v>
      </c>
      <c r="B68" s="3">
        <f>SUM(B69:B101)</f>
        <v>2181.3500000000004</v>
      </c>
      <c r="C68" s="2" t="s">
        <v>77</v>
      </c>
    </row>
    <row r="69" spans="1:3" x14ac:dyDescent="0.25">
      <c r="A69" t="s">
        <v>323</v>
      </c>
      <c r="B69">
        <v>312.45999999999998</v>
      </c>
    </row>
    <row r="70" spans="1:3" x14ac:dyDescent="0.25">
      <c r="A70" t="s">
        <v>324</v>
      </c>
      <c r="B70">
        <v>35.39</v>
      </c>
    </row>
    <row r="71" spans="1:3" x14ac:dyDescent="0.25">
      <c r="A71" t="s">
        <v>325</v>
      </c>
      <c r="B71">
        <v>11.21</v>
      </c>
    </row>
    <row r="72" spans="1:3" x14ac:dyDescent="0.25">
      <c r="A72" t="s">
        <v>326</v>
      </c>
      <c r="B72">
        <v>29.94</v>
      </c>
    </row>
    <row r="73" spans="1:3" x14ac:dyDescent="0.25">
      <c r="A73" t="s">
        <v>327</v>
      </c>
      <c r="B73">
        <v>15.99</v>
      </c>
    </row>
    <row r="74" spans="1:3" x14ac:dyDescent="0.25">
      <c r="A74" t="s">
        <v>328</v>
      </c>
      <c r="B74">
        <v>20.79</v>
      </c>
    </row>
    <row r="75" spans="1:3" x14ac:dyDescent="0.25">
      <c r="A75" t="s">
        <v>329</v>
      </c>
      <c r="B75">
        <v>15.69</v>
      </c>
    </row>
    <row r="76" spans="1:3" x14ac:dyDescent="0.25">
      <c r="A76" t="s">
        <v>330</v>
      </c>
      <c r="B76">
        <v>192.89</v>
      </c>
    </row>
    <row r="77" spans="1:3" x14ac:dyDescent="0.25">
      <c r="A77" t="s">
        <v>331</v>
      </c>
      <c r="B77">
        <v>18.46</v>
      </c>
    </row>
    <row r="78" spans="1:3" x14ac:dyDescent="0.25">
      <c r="A78" t="s">
        <v>332</v>
      </c>
      <c r="B78">
        <v>54.5</v>
      </c>
    </row>
    <row r="79" spans="1:3" x14ac:dyDescent="0.25">
      <c r="A79" t="s">
        <v>333</v>
      </c>
      <c r="B79">
        <v>17.82</v>
      </c>
    </row>
    <row r="80" spans="1:3" x14ac:dyDescent="0.25">
      <c r="A80" t="s">
        <v>334</v>
      </c>
      <c r="B80">
        <v>10.71</v>
      </c>
    </row>
    <row r="81" spans="1:2" x14ac:dyDescent="0.25">
      <c r="A81" t="s">
        <v>335</v>
      </c>
      <c r="B81">
        <v>19.21</v>
      </c>
    </row>
    <row r="82" spans="1:2" x14ac:dyDescent="0.25">
      <c r="A82" t="s">
        <v>336</v>
      </c>
      <c r="B82">
        <v>316.89</v>
      </c>
    </row>
    <row r="83" spans="1:2" x14ac:dyDescent="0.25">
      <c r="A83" t="s">
        <v>337</v>
      </c>
      <c r="B83">
        <v>6.95</v>
      </c>
    </row>
    <row r="84" spans="1:2" x14ac:dyDescent="0.25">
      <c r="A84" t="s">
        <v>338</v>
      </c>
      <c r="B84">
        <v>11.21</v>
      </c>
    </row>
    <row r="85" spans="1:2" x14ac:dyDescent="0.25">
      <c r="A85" t="s">
        <v>45</v>
      </c>
      <c r="B85">
        <v>12.06</v>
      </c>
    </row>
    <row r="86" spans="1:2" x14ac:dyDescent="0.25">
      <c r="A86" t="s">
        <v>339</v>
      </c>
      <c r="B86">
        <v>67.63</v>
      </c>
    </row>
    <row r="87" spans="1:2" x14ac:dyDescent="0.25">
      <c r="A87" t="s">
        <v>340</v>
      </c>
      <c r="B87">
        <v>286.58</v>
      </c>
    </row>
    <row r="88" spans="1:2" x14ac:dyDescent="0.25">
      <c r="A88" t="s">
        <v>341</v>
      </c>
      <c r="B88">
        <v>143.4</v>
      </c>
    </row>
    <row r="89" spans="1:2" x14ac:dyDescent="0.25">
      <c r="A89" t="s">
        <v>342</v>
      </c>
      <c r="B89">
        <v>100.6</v>
      </c>
    </row>
    <row r="90" spans="1:2" x14ac:dyDescent="0.25">
      <c r="A90" t="s">
        <v>343</v>
      </c>
      <c r="B90">
        <v>80.14</v>
      </c>
    </row>
    <row r="91" spans="1:2" x14ac:dyDescent="0.25">
      <c r="A91" t="s">
        <v>344</v>
      </c>
      <c r="B91">
        <v>7.21</v>
      </c>
    </row>
    <row r="92" spans="1:2" x14ac:dyDescent="0.25">
      <c r="A92" t="s">
        <v>345</v>
      </c>
      <c r="B92">
        <v>11.21</v>
      </c>
    </row>
    <row r="93" spans="1:2" x14ac:dyDescent="0.25">
      <c r="A93" t="s">
        <v>346</v>
      </c>
      <c r="B93">
        <v>46.07</v>
      </c>
    </row>
    <row r="94" spans="1:2" x14ac:dyDescent="0.25">
      <c r="A94" t="s">
        <v>347</v>
      </c>
      <c r="B94">
        <v>5.26</v>
      </c>
    </row>
    <row r="95" spans="1:2" x14ac:dyDescent="0.25">
      <c r="A95" t="s">
        <v>347</v>
      </c>
      <c r="B95">
        <v>4.93</v>
      </c>
    </row>
    <row r="96" spans="1:2" x14ac:dyDescent="0.25">
      <c r="A96" t="s">
        <v>348</v>
      </c>
      <c r="B96">
        <v>20.23</v>
      </c>
    </row>
    <row r="97" spans="1:3" x14ac:dyDescent="0.25">
      <c r="A97" t="s">
        <v>349</v>
      </c>
      <c r="B97">
        <v>13.07</v>
      </c>
    </row>
    <row r="98" spans="1:3" x14ac:dyDescent="0.25">
      <c r="A98" t="s">
        <v>350</v>
      </c>
      <c r="B98">
        <v>29.18</v>
      </c>
    </row>
    <row r="99" spans="1:3" x14ac:dyDescent="0.25">
      <c r="A99" t="s">
        <v>351</v>
      </c>
      <c r="B99">
        <v>167.11</v>
      </c>
    </row>
    <row r="100" spans="1:3" x14ac:dyDescent="0.25">
      <c r="A100" t="s">
        <v>352</v>
      </c>
      <c r="B100">
        <v>96.56</v>
      </c>
    </row>
    <row r="102" spans="1:3" x14ac:dyDescent="0.25">
      <c r="A102" s="1" t="s">
        <v>79</v>
      </c>
      <c r="B102" s="3">
        <f>SUM(B103:B127)</f>
        <v>32.570000000000007</v>
      </c>
      <c r="C102" s="2" t="s">
        <v>5</v>
      </c>
    </row>
    <row r="103" spans="1:3" x14ac:dyDescent="0.25">
      <c r="A103" t="s">
        <v>80</v>
      </c>
      <c r="B103">
        <v>0.9</v>
      </c>
    </row>
    <row r="104" spans="1:3" x14ac:dyDescent="0.25">
      <c r="A104" t="s">
        <v>81</v>
      </c>
      <c r="B104">
        <v>0.9</v>
      </c>
    </row>
    <row r="105" spans="1:3" x14ac:dyDescent="0.25">
      <c r="A105" t="s">
        <v>82</v>
      </c>
      <c r="B105">
        <v>0.8</v>
      </c>
    </row>
    <row r="106" spans="1:3" x14ac:dyDescent="0.25">
      <c r="A106" t="s">
        <v>85</v>
      </c>
      <c r="B106">
        <v>0.8</v>
      </c>
    </row>
    <row r="107" spans="1:3" x14ac:dyDescent="0.25">
      <c r="A107" t="s">
        <v>83</v>
      </c>
      <c r="B107">
        <v>0.8</v>
      </c>
    </row>
    <row r="108" spans="1:3" x14ac:dyDescent="0.25">
      <c r="A108" t="s">
        <v>84</v>
      </c>
      <c r="B108">
        <v>1.1000000000000001</v>
      </c>
    </row>
    <row r="109" spans="1:3" x14ac:dyDescent="0.25">
      <c r="A109" t="s">
        <v>86</v>
      </c>
      <c r="B109">
        <v>0.8</v>
      </c>
    </row>
    <row r="110" spans="1:3" x14ac:dyDescent="0.25">
      <c r="A110" t="s">
        <v>86</v>
      </c>
      <c r="B110">
        <v>0.8</v>
      </c>
    </row>
    <row r="111" spans="1:3" x14ac:dyDescent="0.25">
      <c r="A111" t="s">
        <v>87</v>
      </c>
      <c r="B111">
        <v>0.9</v>
      </c>
    </row>
    <row r="112" spans="1:3" x14ac:dyDescent="0.25">
      <c r="A112" t="s">
        <v>88</v>
      </c>
      <c r="B112">
        <v>0.9</v>
      </c>
    </row>
    <row r="113" spans="1:2" x14ac:dyDescent="0.25">
      <c r="A113" t="s">
        <v>89</v>
      </c>
      <c r="B113">
        <v>0.8</v>
      </c>
    </row>
    <row r="114" spans="1:2" x14ac:dyDescent="0.25">
      <c r="A114" t="s">
        <v>90</v>
      </c>
      <c r="B114">
        <v>0.8</v>
      </c>
    </row>
    <row r="115" spans="1:2" x14ac:dyDescent="0.25">
      <c r="A115" t="s">
        <v>91</v>
      </c>
      <c r="B115">
        <v>1.2</v>
      </c>
    </row>
    <row r="116" spans="1:2" x14ac:dyDescent="0.25">
      <c r="A116" t="s">
        <v>92</v>
      </c>
      <c r="B116">
        <v>1.1000000000000001</v>
      </c>
    </row>
    <row r="117" spans="1:2" x14ac:dyDescent="0.25">
      <c r="A117" t="s">
        <v>93</v>
      </c>
      <c r="B117">
        <v>0.9</v>
      </c>
    </row>
    <row r="118" spans="1:2" x14ac:dyDescent="0.25">
      <c r="A118" t="s">
        <v>94</v>
      </c>
      <c r="B118">
        <v>0.9</v>
      </c>
    </row>
    <row r="119" spans="1:2" x14ac:dyDescent="0.25">
      <c r="A119" t="s">
        <v>95</v>
      </c>
      <c r="B119">
        <v>0.8</v>
      </c>
    </row>
    <row r="120" spans="1:2" x14ac:dyDescent="0.25">
      <c r="A120" t="s">
        <v>96</v>
      </c>
      <c r="B120">
        <v>0.8</v>
      </c>
    </row>
    <row r="121" spans="1:2" x14ac:dyDescent="0.25">
      <c r="A121" t="s">
        <v>97</v>
      </c>
      <c r="B121">
        <v>1.2</v>
      </c>
    </row>
    <row r="122" spans="1:2" x14ac:dyDescent="0.25">
      <c r="A122" t="s">
        <v>98</v>
      </c>
      <c r="B122">
        <v>1.1000000000000001</v>
      </c>
    </row>
    <row r="123" spans="1:2" x14ac:dyDescent="0.25">
      <c r="A123" t="s">
        <v>307</v>
      </c>
      <c r="B123">
        <v>7.27</v>
      </c>
    </row>
    <row r="124" spans="1:2" x14ac:dyDescent="0.25">
      <c r="A124" t="s">
        <v>201</v>
      </c>
      <c r="B124">
        <v>1.8</v>
      </c>
    </row>
    <row r="125" spans="1:2" x14ac:dyDescent="0.25">
      <c r="A125" t="s">
        <v>202</v>
      </c>
      <c r="B125">
        <v>1.6</v>
      </c>
    </row>
    <row r="126" spans="1:2" x14ac:dyDescent="0.25">
      <c r="A126" t="s">
        <v>308</v>
      </c>
      <c r="B126">
        <v>1.8</v>
      </c>
    </row>
    <row r="127" spans="1:2" x14ac:dyDescent="0.25">
      <c r="A127" t="s">
        <v>309</v>
      </c>
      <c r="B127">
        <v>1.8</v>
      </c>
    </row>
    <row r="129" spans="1:3" ht="25.5" x14ac:dyDescent="0.25">
      <c r="A129" s="1" t="s">
        <v>99</v>
      </c>
      <c r="B129" s="3">
        <f>SUM(B130:B144)</f>
        <v>179.98999999999998</v>
      </c>
      <c r="C129" s="2" t="s">
        <v>77</v>
      </c>
    </row>
    <row r="130" spans="1:3" x14ac:dyDescent="0.25">
      <c r="A130" t="s">
        <v>310</v>
      </c>
      <c r="B130">
        <v>17.91</v>
      </c>
    </row>
    <row r="131" spans="1:3" x14ac:dyDescent="0.25">
      <c r="A131" t="s">
        <v>314</v>
      </c>
      <c r="B131">
        <v>17.38</v>
      </c>
    </row>
    <row r="132" spans="1:3" x14ac:dyDescent="0.25">
      <c r="A132" t="s">
        <v>313</v>
      </c>
      <c r="B132">
        <v>9.81</v>
      </c>
    </row>
    <row r="133" spans="1:3" x14ac:dyDescent="0.25">
      <c r="A133" t="s">
        <v>31</v>
      </c>
      <c r="B133">
        <v>8.1</v>
      </c>
    </row>
    <row r="134" spans="1:3" x14ac:dyDescent="0.25">
      <c r="A134" t="s">
        <v>312</v>
      </c>
      <c r="B134">
        <v>2.54</v>
      </c>
    </row>
    <row r="135" spans="1:3" x14ac:dyDescent="0.25">
      <c r="A135" t="s">
        <v>311</v>
      </c>
      <c r="B135">
        <v>2.99</v>
      </c>
    </row>
    <row r="136" spans="1:3" x14ac:dyDescent="0.25">
      <c r="A136" t="s">
        <v>310</v>
      </c>
      <c r="B136">
        <v>2.56</v>
      </c>
    </row>
    <row r="137" spans="1:3" x14ac:dyDescent="0.25">
      <c r="A137" t="s">
        <v>319</v>
      </c>
      <c r="B137">
        <v>20.78</v>
      </c>
    </row>
    <row r="138" spans="1:3" x14ac:dyDescent="0.25">
      <c r="A138" t="s">
        <v>318</v>
      </c>
      <c r="B138">
        <v>20.61</v>
      </c>
    </row>
    <row r="139" spans="1:3" x14ac:dyDescent="0.25">
      <c r="A139" t="s">
        <v>317</v>
      </c>
      <c r="B139">
        <v>9.81</v>
      </c>
    </row>
    <row r="140" spans="1:3" x14ac:dyDescent="0.25">
      <c r="A140" t="s">
        <v>316</v>
      </c>
      <c r="B140">
        <v>8.1</v>
      </c>
    </row>
    <row r="141" spans="1:3" x14ac:dyDescent="0.25">
      <c r="A141" t="s">
        <v>322</v>
      </c>
      <c r="B141">
        <v>20.8</v>
      </c>
    </row>
    <row r="142" spans="1:3" x14ac:dyDescent="0.25">
      <c r="A142" t="s">
        <v>321</v>
      </c>
      <c r="B142">
        <v>20.61</v>
      </c>
    </row>
    <row r="143" spans="1:3" x14ac:dyDescent="0.25">
      <c r="A143" t="s">
        <v>320</v>
      </c>
      <c r="B143">
        <v>9.89</v>
      </c>
    </row>
    <row r="144" spans="1:3" x14ac:dyDescent="0.25">
      <c r="A144" t="s">
        <v>49</v>
      </c>
      <c r="B144">
        <v>8.1</v>
      </c>
    </row>
    <row r="147" spans="1:3" x14ac:dyDescent="0.25">
      <c r="A147" s="1" t="s">
        <v>203</v>
      </c>
      <c r="B147" s="3">
        <f>SUM(B148:B180)</f>
        <v>2217.3500000000004</v>
      </c>
      <c r="C147" s="2" t="s">
        <v>77</v>
      </c>
    </row>
    <row r="148" spans="1:3" x14ac:dyDescent="0.25">
      <c r="A148" t="s">
        <v>323</v>
      </c>
      <c r="B148">
        <v>312.45999999999998</v>
      </c>
    </row>
    <row r="149" spans="1:3" x14ac:dyDescent="0.25">
      <c r="A149" t="s">
        <v>324</v>
      </c>
      <c r="B149">
        <v>35.39</v>
      </c>
    </row>
    <row r="150" spans="1:3" x14ac:dyDescent="0.25">
      <c r="A150" t="s">
        <v>325</v>
      </c>
      <c r="B150">
        <v>11.21</v>
      </c>
    </row>
    <row r="151" spans="1:3" x14ac:dyDescent="0.25">
      <c r="A151" t="s">
        <v>326</v>
      </c>
      <c r="B151">
        <v>29.94</v>
      </c>
    </row>
    <row r="152" spans="1:3" x14ac:dyDescent="0.25">
      <c r="A152" t="s">
        <v>327</v>
      </c>
      <c r="B152">
        <v>15.99</v>
      </c>
    </row>
    <row r="153" spans="1:3" x14ac:dyDescent="0.25">
      <c r="A153" t="s">
        <v>328</v>
      </c>
      <c r="B153">
        <v>20.79</v>
      </c>
    </row>
    <row r="154" spans="1:3" x14ac:dyDescent="0.25">
      <c r="A154" t="s">
        <v>329</v>
      </c>
      <c r="B154">
        <v>15.69</v>
      </c>
    </row>
    <row r="155" spans="1:3" x14ac:dyDescent="0.25">
      <c r="A155" t="s">
        <v>330</v>
      </c>
      <c r="B155">
        <v>192.89</v>
      </c>
    </row>
    <row r="156" spans="1:3" x14ac:dyDescent="0.25">
      <c r="A156" t="s">
        <v>331</v>
      </c>
      <c r="B156">
        <v>18.46</v>
      </c>
    </row>
    <row r="157" spans="1:3" x14ac:dyDescent="0.25">
      <c r="A157" t="s">
        <v>332</v>
      </c>
      <c r="B157">
        <v>54.5</v>
      </c>
    </row>
    <row r="158" spans="1:3" x14ac:dyDescent="0.25">
      <c r="A158" t="s">
        <v>333</v>
      </c>
      <c r="B158">
        <v>17.82</v>
      </c>
    </row>
    <row r="159" spans="1:3" x14ac:dyDescent="0.25">
      <c r="A159" t="s">
        <v>334</v>
      </c>
      <c r="B159">
        <v>10.71</v>
      </c>
    </row>
    <row r="160" spans="1:3" x14ac:dyDescent="0.25">
      <c r="A160" t="s">
        <v>335</v>
      </c>
      <c r="B160">
        <v>19.21</v>
      </c>
    </row>
    <row r="161" spans="1:2" x14ac:dyDescent="0.25">
      <c r="A161" t="s">
        <v>336</v>
      </c>
      <c r="B161">
        <v>316.89</v>
      </c>
    </row>
    <row r="162" spans="1:2" x14ac:dyDescent="0.25">
      <c r="A162" t="s">
        <v>337</v>
      </c>
      <c r="B162">
        <v>6.95</v>
      </c>
    </row>
    <row r="163" spans="1:2" x14ac:dyDescent="0.25">
      <c r="A163" t="s">
        <v>338</v>
      </c>
      <c r="B163">
        <v>11.21</v>
      </c>
    </row>
    <row r="164" spans="1:2" x14ac:dyDescent="0.25">
      <c r="A164" t="s">
        <v>45</v>
      </c>
      <c r="B164">
        <v>12.06</v>
      </c>
    </row>
    <row r="165" spans="1:2" x14ac:dyDescent="0.25">
      <c r="A165" t="s">
        <v>339</v>
      </c>
      <c r="B165">
        <v>67.63</v>
      </c>
    </row>
    <row r="166" spans="1:2" x14ac:dyDescent="0.25">
      <c r="A166" t="s">
        <v>340</v>
      </c>
      <c r="B166">
        <v>286.58</v>
      </c>
    </row>
    <row r="167" spans="1:2" x14ac:dyDescent="0.25">
      <c r="A167" t="s">
        <v>341</v>
      </c>
      <c r="B167">
        <v>143.4</v>
      </c>
    </row>
    <row r="168" spans="1:2" x14ac:dyDescent="0.25">
      <c r="A168" t="s">
        <v>342</v>
      </c>
      <c r="B168">
        <v>100.6</v>
      </c>
    </row>
    <row r="169" spans="1:2" x14ac:dyDescent="0.25">
      <c r="A169" t="s">
        <v>343</v>
      </c>
      <c r="B169">
        <v>80.14</v>
      </c>
    </row>
    <row r="170" spans="1:2" x14ac:dyDescent="0.25">
      <c r="A170" t="s">
        <v>344</v>
      </c>
      <c r="B170">
        <v>7.21</v>
      </c>
    </row>
    <row r="171" spans="1:2" x14ac:dyDescent="0.25">
      <c r="A171" t="s">
        <v>345</v>
      </c>
      <c r="B171">
        <v>11.21</v>
      </c>
    </row>
    <row r="172" spans="1:2" x14ac:dyDescent="0.25">
      <c r="A172" t="s">
        <v>346</v>
      </c>
      <c r="B172">
        <v>46.07</v>
      </c>
    </row>
    <row r="173" spans="1:2" x14ac:dyDescent="0.25">
      <c r="A173" t="s">
        <v>347</v>
      </c>
      <c r="B173">
        <v>5.26</v>
      </c>
    </row>
    <row r="174" spans="1:2" x14ac:dyDescent="0.25">
      <c r="A174" t="s">
        <v>347</v>
      </c>
      <c r="B174">
        <v>4.93</v>
      </c>
    </row>
    <row r="175" spans="1:2" x14ac:dyDescent="0.25">
      <c r="A175" t="s">
        <v>348</v>
      </c>
      <c r="B175">
        <v>20.23</v>
      </c>
    </row>
    <row r="176" spans="1:2" x14ac:dyDescent="0.25">
      <c r="A176" t="s">
        <v>349</v>
      </c>
      <c r="B176">
        <v>13.07</v>
      </c>
    </row>
    <row r="177" spans="1:2" x14ac:dyDescent="0.25">
      <c r="A177" t="s">
        <v>350</v>
      </c>
      <c r="B177">
        <v>29.18</v>
      </c>
    </row>
    <row r="178" spans="1:2" x14ac:dyDescent="0.25">
      <c r="A178" t="s">
        <v>351</v>
      </c>
      <c r="B178">
        <v>167.11</v>
      </c>
    </row>
    <row r="179" spans="1:2" x14ac:dyDescent="0.25">
      <c r="A179" t="s">
        <v>352</v>
      </c>
      <c r="B179">
        <v>96.56</v>
      </c>
    </row>
    <row r="180" spans="1:2" x14ac:dyDescent="0.25">
      <c r="A180" t="s">
        <v>266</v>
      </c>
      <c r="B180">
        <v>36</v>
      </c>
    </row>
  </sheetData>
  <phoneticPr fontId="2" type="noConversion"/>
  <pageMargins left="0.511811024" right="0.511811024" top="0.78740157499999996" bottom="0.78740157499999996" header="0.31496062000000002" footer="0.31496062000000002"/>
  <pageSetup paperSize="9" scale="5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view="pageBreakPreview" zoomScale="60" zoomScaleNormal="100" workbookViewId="0">
      <selection activeCell="F33" sqref="F33"/>
    </sheetView>
  </sheetViews>
  <sheetFormatPr defaultRowHeight="15" x14ac:dyDescent="0.25"/>
  <cols>
    <col min="1" max="1" width="54.7109375" customWidth="1"/>
  </cols>
  <sheetData>
    <row r="1" spans="1:3" x14ac:dyDescent="0.25">
      <c r="A1" s="1" t="s">
        <v>198</v>
      </c>
      <c r="B1" s="3">
        <f>SUM(B2:B16)</f>
        <v>179.98999999999998</v>
      </c>
      <c r="C1" s="2" t="s">
        <v>77</v>
      </c>
    </row>
    <row r="2" spans="1:3" x14ac:dyDescent="0.25">
      <c r="A2" t="s">
        <v>310</v>
      </c>
      <c r="B2">
        <v>17.91</v>
      </c>
    </row>
    <row r="3" spans="1:3" x14ac:dyDescent="0.25">
      <c r="A3" t="s">
        <v>314</v>
      </c>
      <c r="B3">
        <v>17.38</v>
      </c>
    </row>
    <row r="4" spans="1:3" x14ac:dyDescent="0.25">
      <c r="A4" t="s">
        <v>313</v>
      </c>
      <c r="B4">
        <v>9.81</v>
      </c>
    </row>
    <row r="5" spans="1:3" x14ac:dyDescent="0.25">
      <c r="A5" t="s">
        <v>31</v>
      </c>
      <c r="B5">
        <v>8.1</v>
      </c>
    </row>
    <row r="6" spans="1:3" x14ac:dyDescent="0.25">
      <c r="A6" t="s">
        <v>312</v>
      </c>
      <c r="B6">
        <v>2.54</v>
      </c>
    </row>
    <row r="7" spans="1:3" x14ac:dyDescent="0.25">
      <c r="A7" t="s">
        <v>311</v>
      </c>
      <c r="B7">
        <v>2.99</v>
      </c>
    </row>
    <row r="8" spans="1:3" x14ac:dyDescent="0.25">
      <c r="A8" t="s">
        <v>310</v>
      </c>
      <c r="B8">
        <v>2.56</v>
      </c>
    </row>
    <row r="9" spans="1:3" x14ac:dyDescent="0.25">
      <c r="A9" t="s">
        <v>319</v>
      </c>
      <c r="B9">
        <v>20.78</v>
      </c>
    </row>
    <row r="10" spans="1:3" x14ac:dyDescent="0.25">
      <c r="A10" t="s">
        <v>318</v>
      </c>
      <c r="B10">
        <v>20.61</v>
      </c>
    </row>
    <row r="11" spans="1:3" x14ac:dyDescent="0.25">
      <c r="A11" t="s">
        <v>317</v>
      </c>
      <c r="B11">
        <v>9.81</v>
      </c>
    </row>
    <row r="12" spans="1:3" x14ac:dyDescent="0.25">
      <c r="A12" t="s">
        <v>316</v>
      </c>
      <c r="B12">
        <v>8.1</v>
      </c>
    </row>
    <row r="13" spans="1:3" x14ac:dyDescent="0.25">
      <c r="A13" t="s">
        <v>322</v>
      </c>
      <c r="B13">
        <v>20.8</v>
      </c>
    </row>
    <row r="14" spans="1:3" x14ac:dyDescent="0.25">
      <c r="A14" t="s">
        <v>321</v>
      </c>
      <c r="B14">
        <v>20.61</v>
      </c>
    </row>
    <row r="15" spans="1:3" x14ac:dyDescent="0.25">
      <c r="A15" t="s">
        <v>320</v>
      </c>
      <c r="B15">
        <v>9.89</v>
      </c>
    </row>
    <row r="16" spans="1:3" x14ac:dyDescent="0.25">
      <c r="A16" t="s">
        <v>49</v>
      </c>
      <c r="B16">
        <v>8.1</v>
      </c>
    </row>
    <row r="18" spans="1:3" ht="25.5" x14ac:dyDescent="0.25">
      <c r="A18" s="1" t="s">
        <v>197</v>
      </c>
      <c r="B18" s="3">
        <f>(SUM(B19:B34))*0.5</f>
        <v>135.72000000000003</v>
      </c>
      <c r="C18" s="2" t="s">
        <v>199</v>
      </c>
    </row>
    <row r="19" spans="1:3" x14ac:dyDescent="0.25">
      <c r="A19" t="s">
        <v>353</v>
      </c>
      <c r="B19">
        <v>20.67</v>
      </c>
      <c r="C19" t="s">
        <v>5</v>
      </c>
    </row>
    <row r="20" spans="1:3" x14ac:dyDescent="0.25">
      <c r="A20" t="s">
        <v>354</v>
      </c>
      <c r="B20">
        <v>20.71</v>
      </c>
      <c r="C20" t="s">
        <v>5</v>
      </c>
    </row>
    <row r="21" spans="1:3" x14ac:dyDescent="0.25">
      <c r="A21" t="s">
        <v>355</v>
      </c>
      <c r="B21">
        <v>12.8</v>
      </c>
      <c r="C21" t="s">
        <v>5</v>
      </c>
    </row>
    <row r="22" spans="1:3" x14ac:dyDescent="0.25">
      <c r="A22" t="s">
        <v>356</v>
      </c>
      <c r="B22">
        <v>11.84</v>
      </c>
      <c r="C22" t="s">
        <v>5</v>
      </c>
    </row>
    <row r="23" spans="1:3" x14ac:dyDescent="0.25">
      <c r="A23" t="s">
        <v>357</v>
      </c>
      <c r="B23">
        <v>6.35</v>
      </c>
      <c r="C23" t="s">
        <v>5</v>
      </c>
    </row>
    <row r="24" spans="1:3" x14ac:dyDescent="0.25">
      <c r="A24" t="s">
        <v>358</v>
      </c>
      <c r="B24">
        <v>2.56</v>
      </c>
      <c r="C24" t="s">
        <v>5</v>
      </c>
    </row>
    <row r="25" spans="1:3" x14ac:dyDescent="0.25">
      <c r="A25" t="s">
        <v>359</v>
      </c>
      <c r="B25">
        <v>6.4</v>
      </c>
      <c r="C25" t="s">
        <v>5</v>
      </c>
    </row>
    <row r="26" spans="1:3" x14ac:dyDescent="0.25">
      <c r="A26" t="s">
        <v>360</v>
      </c>
      <c r="B26">
        <v>21.46</v>
      </c>
      <c r="C26" t="s">
        <v>5</v>
      </c>
    </row>
    <row r="27" spans="1:3" x14ac:dyDescent="0.25">
      <c r="A27" t="s">
        <v>361</v>
      </c>
      <c r="B27">
        <v>23.21</v>
      </c>
      <c r="C27" t="s">
        <v>5</v>
      </c>
    </row>
    <row r="28" spans="1:3" x14ac:dyDescent="0.25">
      <c r="A28" t="s">
        <v>317</v>
      </c>
      <c r="B28">
        <v>12.8</v>
      </c>
      <c r="C28" t="s">
        <v>5</v>
      </c>
    </row>
    <row r="29" spans="1:3" x14ac:dyDescent="0.25">
      <c r="A29" t="s">
        <v>362</v>
      </c>
      <c r="B29">
        <v>11.84</v>
      </c>
      <c r="C29" t="s">
        <v>5</v>
      </c>
    </row>
    <row r="30" spans="1:3" x14ac:dyDescent="0.25">
      <c r="A30" t="s">
        <v>322</v>
      </c>
      <c r="B30">
        <v>21.59</v>
      </c>
      <c r="C30" t="s">
        <v>5</v>
      </c>
    </row>
    <row r="31" spans="1:3" x14ac:dyDescent="0.25">
      <c r="A31" t="s">
        <v>321</v>
      </c>
      <c r="B31">
        <v>23.23</v>
      </c>
      <c r="C31" t="s">
        <v>5</v>
      </c>
    </row>
    <row r="32" spans="1:3" x14ac:dyDescent="0.25">
      <c r="A32" t="s">
        <v>320</v>
      </c>
      <c r="B32">
        <v>12.85</v>
      </c>
      <c r="C32" t="s">
        <v>5</v>
      </c>
    </row>
    <row r="33" spans="1:3" x14ac:dyDescent="0.25">
      <c r="A33" t="s">
        <v>49</v>
      </c>
      <c r="B33">
        <v>11.84</v>
      </c>
      <c r="C33" t="s">
        <v>5</v>
      </c>
    </row>
    <row r="34" spans="1:3" x14ac:dyDescent="0.25">
      <c r="A34" t="s">
        <v>346</v>
      </c>
      <c r="B34">
        <v>51.29</v>
      </c>
      <c r="C34" t="s">
        <v>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view="pageBreakPreview" zoomScale="60" zoomScaleNormal="100" workbookViewId="0">
      <selection activeCell="A3" sqref="A3:B4"/>
    </sheetView>
  </sheetViews>
  <sheetFormatPr defaultRowHeight="15" x14ac:dyDescent="0.25"/>
  <cols>
    <col min="1" max="1" width="50.5703125" customWidth="1"/>
    <col min="2" max="3" width="11.28515625" customWidth="1"/>
  </cols>
  <sheetData>
    <row r="2" spans="1:3" ht="25.5" x14ac:dyDescent="0.25">
      <c r="A2" s="1" t="s">
        <v>100</v>
      </c>
      <c r="B2" s="3">
        <f>SUM(B3:B4)</f>
        <v>32.515000000000001</v>
      </c>
      <c r="C2" s="2" t="s">
        <v>77</v>
      </c>
    </row>
    <row r="3" spans="1:3" x14ac:dyDescent="0.25">
      <c r="A3" t="s">
        <v>105</v>
      </c>
      <c r="B3">
        <f>4.51*3.5</f>
        <v>15.785</v>
      </c>
    </row>
    <row r="4" spans="1:3" x14ac:dyDescent="0.25">
      <c r="A4" t="s">
        <v>10</v>
      </c>
      <c r="B4">
        <f>4.78*3.5</f>
        <v>16.73</v>
      </c>
    </row>
    <row r="5" spans="1:3" x14ac:dyDescent="0.25">
      <c r="A5" s="1" t="s">
        <v>101</v>
      </c>
      <c r="B5" s="3">
        <f>SUM(B6)</f>
        <v>4.1309999999999993</v>
      </c>
      <c r="C5" s="2" t="s">
        <v>77</v>
      </c>
    </row>
    <row r="6" spans="1:3" x14ac:dyDescent="0.25">
      <c r="A6" t="s">
        <v>104</v>
      </c>
      <c r="B6">
        <f>13.77*0.3</f>
        <v>4.1309999999999993</v>
      </c>
    </row>
    <row r="7" spans="1:3" x14ac:dyDescent="0.25">
      <c r="A7" s="1" t="s">
        <v>102</v>
      </c>
      <c r="B7" s="3">
        <f>SUM(B8)</f>
        <v>0.33047999999999994</v>
      </c>
      <c r="C7" s="2" t="s">
        <v>103</v>
      </c>
    </row>
    <row r="8" spans="1:3" x14ac:dyDescent="0.25">
      <c r="A8" t="s">
        <v>104</v>
      </c>
      <c r="B8">
        <f>B6*0.08</f>
        <v>0.33047999999999994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1"/>
  <sheetViews>
    <sheetView view="pageBreakPreview" zoomScale="60" zoomScaleNormal="100" workbookViewId="0">
      <selection activeCell="G19" sqref="G19"/>
    </sheetView>
  </sheetViews>
  <sheetFormatPr defaultRowHeight="15" x14ac:dyDescent="0.25"/>
  <cols>
    <col min="1" max="1" width="50.28515625" customWidth="1"/>
    <col min="2" max="2" width="12" customWidth="1"/>
    <col min="6" max="6" width="50.28515625" customWidth="1"/>
    <col min="13" max="13" width="43.85546875" customWidth="1"/>
    <col min="14" max="14" width="12.42578125" customWidth="1"/>
    <col min="17" max="17" width="11.7109375" customWidth="1"/>
    <col min="18" max="18" width="20.7109375" customWidth="1"/>
  </cols>
  <sheetData>
    <row r="1" spans="1:15" x14ac:dyDescent="0.25">
      <c r="A1" s="1" t="s">
        <v>288</v>
      </c>
      <c r="B1" s="3"/>
      <c r="C1" s="2"/>
      <c r="F1" s="1" t="s">
        <v>147</v>
      </c>
      <c r="G1" s="3">
        <f>SUM(G2:G47)</f>
        <v>181.26000000000002</v>
      </c>
      <c r="H1" s="2" t="s">
        <v>77</v>
      </c>
      <c r="M1" s="1" t="s">
        <v>405</v>
      </c>
      <c r="N1" s="3">
        <f>(SUM(N2:N49))*2</f>
        <v>1435.56</v>
      </c>
      <c r="O1" s="2"/>
    </row>
    <row r="2" spans="1:15" x14ac:dyDescent="0.25">
      <c r="A2" t="s">
        <v>285</v>
      </c>
      <c r="B2">
        <v>5.05</v>
      </c>
      <c r="F2" t="s">
        <v>28</v>
      </c>
      <c r="G2">
        <v>17.920000000000002</v>
      </c>
      <c r="M2" t="s">
        <v>14</v>
      </c>
      <c r="N2">
        <f>2*3.5</f>
        <v>7</v>
      </c>
    </row>
    <row r="3" spans="1:15" x14ac:dyDescent="0.25">
      <c r="A3" t="s">
        <v>285</v>
      </c>
      <c r="B3">
        <v>25.76</v>
      </c>
      <c r="F3" t="s">
        <v>29</v>
      </c>
      <c r="G3">
        <v>17.28</v>
      </c>
      <c r="M3" t="s">
        <v>107</v>
      </c>
      <c r="N3">
        <f>2*3.5</f>
        <v>7</v>
      </c>
    </row>
    <row r="4" spans="1:15" x14ac:dyDescent="0.25">
      <c r="A4" t="s">
        <v>285</v>
      </c>
      <c r="B4">
        <v>26.22</v>
      </c>
      <c r="F4" t="s">
        <v>30</v>
      </c>
      <c r="G4">
        <v>9.81</v>
      </c>
      <c r="M4" t="s">
        <v>10</v>
      </c>
      <c r="N4">
        <f>4.5*3.5</f>
        <v>15.75</v>
      </c>
    </row>
    <row r="5" spans="1:15" x14ac:dyDescent="0.25">
      <c r="A5" t="s">
        <v>285</v>
      </c>
      <c r="B5">
        <v>2</v>
      </c>
      <c r="F5" t="s">
        <v>31</v>
      </c>
      <c r="G5">
        <v>8.1</v>
      </c>
      <c r="M5" t="s">
        <v>108</v>
      </c>
      <c r="N5">
        <f>4.2*3.5</f>
        <v>14.700000000000001</v>
      </c>
    </row>
    <row r="6" spans="1:15" x14ac:dyDescent="0.25">
      <c r="A6" t="s">
        <v>285</v>
      </c>
      <c r="B6">
        <v>2.94</v>
      </c>
      <c r="F6" t="s">
        <v>312</v>
      </c>
      <c r="G6">
        <v>2.54</v>
      </c>
      <c r="M6" t="s">
        <v>109</v>
      </c>
      <c r="N6">
        <f>2*3.5</f>
        <v>7</v>
      </c>
    </row>
    <row r="7" spans="1:15" x14ac:dyDescent="0.25">
      <c r="A7" t="s">
        <v>285</v>
      </c>
      <c r="B7">
        <v>5.05</v>
      </c>
      <c r="F7" t="s">
        <v>311</v>
      </c>
      <c r="G7">
        <v>2.99</v>
      </c>
      <c r="M7" t="s">
        <v>110</v>
      </c>
      <c r="N7">
        <f>1.2*3.5</f>
        <v>4.2</v>
      </c>
    </row>
    <row r="8" spans="1:15" x14ac:dyDescent="0.25">
      <c r="A8" t="s">
        <v>285</v>
      </c>
      <c r="B8">
        <v>25.76</v>
      </c>
      <c r="F8" t="s">
        <v>310</v>
      </c>
      <c r="G8">
        <v>2.56</v>
      </c>
      <c r="M8" t="s">
        <v>111</v>
      </c>
      <c r="N8">
        <f>(5.7+4.56)*3.5</f>
        <v>35.909999999999997</v>
      </c>
    </row>
    <row r="9" spans="1:15" x14ac:dyDescent="0.25">
      <c r="A9" t="s">
        <v>285</v>
      </c>
      <c r="B9">
        <v>26.22</v>
      </c>
      <c r="F9" t="s">
        <v>40</v>
      </c>
      <c r="G9">
        <v>8.1</v>
      </c>
      <c r="M9" t="s">
        <v>112</v>
      </c>
      <c r="N9">
        <f>2*3.5</f>
        <v>7</v>
      </c>
    </row>
    <row r="10" spans="1:15" x14ac:dyDescent="0.25">
      <c r="A10" t="s">
        <v>285</v>
      </c>
      <c r="B10">
        <v>2</v>
      </c>
      <c r="F10" t="s">
        <v>41</v>
      </c>
      <c r="G10">
        <v>9.81</v>
      </c>
      <c r="M10" t="s">
        <v>105</v>
      </c>
      <c r="N10">
        <f>2*3.5</f>
        <v>7</v>
      </c>
    </row>
    <row r="11" spans="1:15" x14ac:dyDescent="0.25">
      <c r="A11" t="s">
        <v>285</v>
      </c>
      <c r="B11">
        <v>2.94</v>
      </c>
      <c r="F11" t="s">
        <v>42</v>
      </c>
      <c r="G11">
        <v>21</v>
      </c>
      <c r="M11" t="s">
        <v>16</v>
      </c>
      <c r="N11">
        <f>4.26*3.5</f>
        <v>14.91</v>
      </c>
    </row>
    <row r="12" spans="1:15" x14ac:dyDescent="0.25">
      <c r="A12" t="s">
        <v>285</v>
      </c>
      <c r="B12">
        <v>5.05</v>
      </c>
      <c r="F12" t="s">
        <v>43</v>
      </c>
      <c r="G12">
        <v>21.12</v>
      </c>
      <c r="M12" t="s">
        <v>113</v>
      </c>
      <c r="N12">
        <f>4.26*3.5</f>
        <v>14.91</v>
      </c>
    </row>
    <row r="13" spans="1:15" x14ac:dyDescent="0.25">
      <c r="A13" t="s">
        <v>285</v>
      </c>
      <c r="B13">
        <v>25.76</v>
      </c>
      <c r="F13" t="s">
        <v>49</v>
      </c>
      <c r="G13">
        <v>8.1</v>
      </c>
      <c r="M13" t="s">
        <v>114</v>
      </c>
      <c r="N13">
        <f>4.74*3.5</f>
        <v>16.59</v>
      </c>
    </row>
    <row r="14" spans="1:15" x14ac:dyDescent="0.25">
      <c r="A14" t="s">
        <v>285</v>
      </c>
      <c r="B14">
        <v>26.22</v>
      </c>
      <c r="F14" t="s">
        <v>50</v>
      </c>
      <c r="G14">
        <v>9.81</v>
      </c>
      <c r="M14" t="s">
        <v>115</v>
      </c>
      <c r="N14">
        <f>4.78*3.5</f>
        <v>16.73</v>
      </c>
    </row>
    <row r="15" spans="1:15" x14ac:dyDescent="0.25">
      <c r="A15" t="s">
        <v>285</v>
      </c>
      <c r="B15">
        <v>2</v>
      </c>
      <c r="F15" t="s">
        <v>51</v>
      </c>
      <c r="G15">
        <v>21</v>
      </c>
      <c r="M15" t="s">
        <v>116</v>
      </c>
      <c r="N15">
        <f>4.78*3.5</f>
        <v>16.73</v>
      </c>
    </row>
    <row r="16" spans="1:15" x14ac:dyDescent="0.25">
      <c r="A16" t="s">
        <v>285</v>
      </c>
      <c r="B16">
        <v>2.94</v>
      </c>
      <c r="F16" t="s">
        <v>52</v>
      </c>
      <c r="G16">
        <v>21.12</v>
      </c>
      <c r="M16" t="s">
        <v>17</v>
      </c>
      <c r="N16">
        <f>3.08*3.5</f>
        <v>10.780000000000001</v>
      </c>
    </row>
    <row r="17" spans="1:14" x14ac:dyDescent="0.25">
      <c r="A17" t="s">
        <v>285</v>
      </c>
      <c r="B17">
        <v>56.49</v>
      </c>
      <c r="M17" t="s">
        <v>117</v>
      </c>
      <c r="N17">
        <f>8.3*3.5</f>
        <v>29.050000000000004</v>
      </c>
    </row>
    <row r="18" spans="1:14" x14ac:dyDescent="0.25">
      <c r="A18" t="s">
        <v>285</v>
      </c>
      <c r="B18">
        <v>5.35</v>
      </c>
      <c r="M18" t="s">
        <v>118</v>
      </c>
      <c r="N18">
        <f>4.71*3.5</f>
        <v>16.484999999999999</v>
      </c>
    </row>
    <row r="19" spans="1:14" x14ac:dyDescent="0.25">
      <c r="A19" t="s">
        <v>285</v>
      </c>
      <c r="B19">
        <v>5.35</v>
      </c>
      <c r="M19" t="s">
        <v>119</v>
      </c>
      <c r="N19">
        <f>2*3.5</f>
        <v>7</v>
      </c>
    </row>
    <row r="20" spans="1:14" x14ac:dyDescent="0.25">
      <c r="A20" t="s">
        <v>285</v>
      </c>
      <c r="B20">
        <v>25.76</v>
      </c>
      <c r="M20" t="s">
        <v>120</v>
      </c>
      <c r="N20">
        <f t="shared" ref="N20:N27" si="0">2*3.5</f>
        <v>7</v>
      </c>
    </row>
    <row r="21" spans="1:14" x14ac:dyDescent="0.25">
      <c r="A21" t="s">
        <v>285</v>
      </c>
      <c r="B21">
        <v>25.28</v>
      </c>
      <c r="M21" t="s">
        <v>121</v>
      </c>
      <c r="N21">
        <f t="shared" si="0"/>
        <v>7</v>
      </c>
    </row>
    <row r="22" spans="1:14" x14ac:dyDescent="0.25">
      <c r="A22" t="s">
        <v>285</v>
      </c>
      <c r="B22">
        <v>24.18</v>
      </c>
      <c r="M22" t="s">
        <v>122</v>
      </c>
      <c r="N22">
        <f t="shared" si="0"/>
        <v>7</v>
      </c>
    </row>
    <row r="23" spans="1:14" x14ac:dyDescent="0.25">
      <c r="A23" t="s">
        <v>285</v>
      </c>
      <c r="B23">
        <v>37.619999999999997</v>
      </c>
      <c r="M23" t="s">
        <v>123</v>
      </c>
      <c r="N23">
        <f t="shared" si="0"/>
        <v>7</v>
      </c>
    </row>
    <row r="24" spans="1:14" x14ac:dyDescent="0.25">
      <c r="A24" t="s">
        <v>285</v>
      </c>
      <c r="B24">
        <v>3.1</v>
      </c>
      <c r="M24" t="s">
        <v>124</v>
      </c>
      <c r="N24">
        <f t="shared" si="0"/>
        <v>7</v>
      </c>
    </row>
    <row r="25" spans="1:14" x14ac:dyDescent="0.25">
      <c r="A25" t="s">
        <v>285</v>
      </c>
      <c r="B25">
        <v>2.5</v>
      </c>
      <c r="M25" t="s">
        <v>125</v>
      </c>
      <c r="N25">
        <f t="shared" si="0"/>
        <v>7</v>
      </c>
    </row>
    <row r="26" spans="1:14" x14ac:dyDescent="0.25">
      <c r="A26" t="s">
        <v>285</v>
      </c>
      <c r="B26">
        <v>2.5</v>
      </c>
      <c r="M26" t="s">
        <v>126</v>
      </c>
      <c r="N26">
        <f t="shared" si="0"/>
        <v>7</v>
      </c>
    </row>
    <row r="27" spans="1:14" x14ac:dyDescent="0.25">
      <c r="A27" t="s">
        <v>285</v>
      </c>
      <c r="B27">
        <v>2.5</v>
      </c>
      <c r="M27" t="s">
        <v>127</v>
      </c>
      <c r="N27">
        <f t="shared" si="0"/>
        <v>7</v>
      </c>
    </row>
    <row r="28" spans="1:14" x14ac:dyDescent="0.25">
      <c r="A28" t="s">
        <v>285</v>
      </c>
      <c r="B28">
        <v>2.5</v>
      </c>
      <c r="M28" t="s">
        <v>128</v>
      </c>
      <c r="N28">
        <f>3.87*3.5</f>
        <v>13.545</v>
      </c>
    </row>
    <row r="29" spans="1:14" x14ac:dyDescent="0.25">
      <c r="A29" t="s">
        <v>285</v>
      </c>
      <c r="B29">
        <v>1.25</v>
      </c>
      <c r="M29" t="s">
        <v>129</v>
      </c>
      <c r="N29">
        <f>2.53*3.5</f>
        <v>8.8549999999999986</v>
      </c>
    </row>
    <row r="30" spans="1:14" x14ac:dyDescent="0.25">
      <c r="A30" t="s">
        <v>285</v>
      </c>
      <c r="B30">
        <v>1.25</v>
      </c>
      <c r="M30" t="s">
        <v>130</v>
      </c>
      <c r="N30">
        <f>1.2*3.5</f>
        <v>4.2</v>
      </c>
    </row>
    <row r="31" spans="1:14" x14ac:dyDescent="0.25">
      <c r="A31" t="s">
        <v>285</v>
      </c>
      <c r="B31">
        <v>1.25</v>
      </c>
      <c r="M31" t="s">
        <v>11</v>
      </c>
      <c r="N31">
        <f>1.3*3.5</f>
        <v>4.55</v>
      </c>
    </row>
    <row r="32" spans="1:14" x14ac:dyDescent="0.25">
      <c r="A32" t="s">
        <v>285</v>
      </c>
      <c r="B32">
        <v>2.5</v>
      </c>
      <c r="M32" t="s">
        <v>131</v>
      </c>
      <c r="N32">
        <f>2.85*3.5</f>
        <v>9.9749999999999996</v>
      </c>
    </row>
    <row r="33" spans="1:14" x14ac:dyDescent="0.25">
      <c r="A33" t="s">
        <v>285</v>
      </c>
      <c r="B33">
        <v>30.7</v>
      </c>
      <c r="M33" t="s">
        <v>132</v>
      </c>
      <c r="N33">
        <f>4.13*3.5</f>
        <v>14.455</v>
      </c>
    </row>
    <row r="34" spans="1:14" x14ac:dyDescent="0.25">
      <c r="A34" t="s">
        <v>285</v>
      </c>
      <c r="B34">
        <v>2</v>
      </c>
      <c r="M34" t="s">
        <v>133</v>
      </c>
      <c r="N34">
        <f>4.77*3.5</f>
        <v>16.695</v>
      </c>
    </row>
    <row r="35" spans="1:14" x14ac:dyDescent="0.25">
      <c r="A35" t="s">
        <v>285</v>
      </c>
      <c r="B35">
        <v>2.94</v>
      </c>
      <c r="M35" t="s">
        <v>134</v>
      </c>
      <c r="N35">
        <f>12.5*3.5</f>
        <v>43.75</v>
      </c>
    </row>
    <row r="36" spans="1:14" x14ac:dyDescent="0.25">
      <c r="A36" t="s">
        <v>285</v>
      </c>
      <c r="B36">
        <v>19.57</v>
      </c>
      <c r="M36" t="s">
        <v>135</v>
      </c>
      <c r="N36">
        <f>11.78*3.5</f>
        <v>41.23</v>
      </c>
    </row>
    <row r="37" spans="1:14" x14ac:dyDescent="0.25">
      <c r="A37" t="s">
        <v>285</v>
      </c>
      <c r="B37">
        <v>1.25</v>
      </c>
      <c r="M37" t="s">
        <v>136</v>
      </c>
      <c r="N37">
        <f>12.5*3.5</f>
        <v>43.75</v>
      </c>
    </row>
    <row r="38" spans="1:14" x14ac:dyDescent="0.25">
      <c r="A38" t="s">
        <v>285</v>
      </c>
      <c r="B38">
        <v>1.25</v>
      </c>
      <c r="M38" t="s">
        <v>137</v>
      </c>
      <c r="N38">
        <f>6.48*3.5</f>
        <v>22.68</v>
      </c>
    </row>
    <row r="39" spans="1:14" x14ac:dyDescent="0.25">
      <c r="A39" t="s">
        <v>285</v>
      </c>
      <c r="B39">
        <v>3.48</v>
      </c>
      <c r="M39" t="s">
        <v>138</v>
      </c>
      <c r="N39">
        <f>(2.47+2.6)*3.5</f>
        <v>17.745000000000001</v>
      </c>
    </row>
    <row r="40" spans="1:14" x14ac:dyDescent="0.25">
      <c r="A40" t="s">
        <v>285</v>
      </c>
      <c r="B40">
        <v>1.75</v>
      </c>
      <c r="M40" t="s">
        <v>139</v>
      </c>
      <c r="N40">
        <f>6.3*3.5</f>
        <v>22.05</v>
      </c>
    </row>
    <row r="41" spans="1:14" x14ac:dyDescent="0.25">
      <c r="A41" t="s">
        <v>285</v>
      </c>
      <c r="B41">
        <v>1.25</v>
      </c>
      <c r="M41" t="s">
        <v>140</v>
      </c>
      <c r="N41">
        <f>9.82*3.5</f>
        <v>34.370000000000005</v>
      </c>
    </row>
    <row r="42" spans="1:14" x14ac:dyDescent="0.25">
      <c r="A42" t="s">
        <v>285</v>
      </c>
      <c r="B42">
        <v>1.25</v>
      </c>
      <c r="M42" t="s">
        <v>141</v>
      </c>
      <c r="N42">
        <f>2.32*3.5</f>
        <v>8.1199999999999992</v>
      </c>
    </row>
    <row r="43" spans="1:14" x14ac:dyDescent="0.25">
      <c r="B43" s="15">
        <f>SUM(B2:B42)</f>
        <v>450.73</v>
      </c>
      <c r="C43" s="15" t="s">
        <v>4</v>
      </c>
      <c r="M43" t="s">
        <v>142</v>
      </c>
      <c r="N43">
        <f>3.96*3.5</f>
        <v>13.86</v>
      </c>
    </row>
    <row r="44" spans="1:14" x14ac:dyDescent="0.25">
      <c r="A44" t="s">
        <v>286</v>
      </c>
      <c r="B44">
        <v>83.59</v>
      </c>
      <c r="M44" t="s">
        <v>143</v>
      </c>
      <c r="N44">
        <f>1.37*3.5</f>
        <v>4.7949999999999999</v>
      </c>
    </row>
    <row r="45" spans="1:14" x14ac:dyDescent="0.25">
      <c r="A45" t="s">
        <v>286</v>
      </c>
      <c r="B45">
        <v>25.4</v>
      </c>
      <c r="M45" t="s">
        <v>144</v>
      </c>
      <c r="N45">
        <f>5.97*3.5</f>
        <v>20.895</v>
      </c>
    </row>
    <row r="46" spans="1:14" x14ac:dyDescent="0.25">
      <c r="A46" t="s">
        <v>286</v>
      </c>
      <c r="B46">
        <v>43.65</v>
      </c>
      <c r="M46" t="s">
        <v>145</v>
      </c>
      <c r="N46">
        <f>5*3.5</f>
        <v>17.5</v>
      </c>
    </row>
    <row r="47" spans="1:14" x14ac:dyDescent="0.25">
      <c r="A47" t="s">
        <v>286</v>
      </c>
      <c r="B47">
        <v>80.53</v>
      </c>
      <c r="M47" t="s">
        <v>146</v>
      </c>
      <c r="N47">
        <f>5*3.5</f>
        <v>17.5</v>
      </c>
    </row>
    <row r="48" spans="1:14" x14ac:dyDescent="0.25">
      <c r="A48" t="s">
        <v>286</v>
      </c>
      <c r="B48">
        <v>46.35</v>
      </c>
      <c r="M48" t="s">
        <v>105</v>
      </c>
      <c r="N48">
        <f>4.51*3.5</f>
        <v>15.785</v>
      </c>
    </row>
    <row r="49" spans="1:18" x14ac:dyDescent="0.25">
      <c r="A49" t="s">
        <v>286</v>
      </c>
      <c r="B49">
        <v>68.319999999999993</v>
      </c>
      <c r="M49" t="s">
        <v>10</v>
      </c>
      <c r="N49">
        <f>4.78*3.5</f>
        <v>16.73</v>
      </c>
    </row>
    <row r="50" spans="1:18" x14ac:dyDescent="0.25">
      <c r="A50" t="s">
        <v>286</v>
      </c>
      <c r="B50">
        <v>4</v>
      </c>
    </row>
    <row r="51" spans="1:18" x14ac:dyDescent="0.25">
      <c r="A51" t="s">
        <v>286</v>
      </c>
      <c r="B51">
        <v>4</v>
      </c>
    </row>
    <row r="52" spans="1:18" x14ac:dyDescent="0.25">
      <c r="A52" t="s">
        <v>286</v>
      </c>
      <c r="B52">
        <v>4</v>
      </c>
      <c r="M52" s="1" t="s">
        <v>413</v>
      </c>
      <c r="N52" s="1" t="s">
        <v>407</v>
      </c>
      <c r="O52" s="1" t="s">
        <v>406</v>
      </c>
      <c r="P52" s="1" t="s">
        <v>267</v>
      </c>
      <c r="Q52" s="1" t="s">
        <v>410</v>
      </c>
      <c r="R52" s="1" t="s">
        <v>414</v>
      </c>
    </row>
    <row r="53" spans="1:18" x14ac:dyDescent="0.25">
      <c r="A53" t="s">
        <v>286</v>
      </c>
      <c r="B53">
        <v>4</v>
      </c>
      <c r="M53" t="s">
        <v>30</v>
      </c>
      <c r="N53">
        <v>6.4</v>
      </c>
      <c r="O53">
        <v>3</v>
      </c>
      <c r="P53">
        <f>O53*N53</f>
        <v>19.200000000000003</v>
      </c>
      <c r="Q53">
        <f>1.5*1.1</f>
        <v>1.6500000000000001</v>
      </c>
      <c r="R53">
        <f>P53-Q53</f>
        <v>17.550000000000004</v>
      </c>
    </row>
    <row r="54" spans="1:18" x14ac:dyDescent="0.25">
      <c r="A54" t="s">
        <v>286</v>
      </c>
      <c r="B54">
        <v>2</v>
      </c>
      <c r="M54" t="s">
        <v>41</v>
      </c>
      <c r="N54">
        <v>6.4</v>
      </c>
      <c r="O54">
        <v>3</v>
      </c>
      <c r="P54">
        <f t="shared" ref="P54:P58" si="1">O54*N54</f>
        <v>19.200000000000003</v>
      </c>
      <c r="Q54">
        <f>1.5*1.1</f>
        <v>1.6500000000000001</v>
      </c>
      <c r="R54">
        <f t="shared" ref="R54:R64" si="2">P54-Q54</f>
        <v>17.550000000000004</v>
      </c>
    </row>
    <row r="55" spans="1:18" x14ac:dyDescent="0.25">
      <c r="A55" t="s">
        <v>286</v>
      </c>
      <c r="B55">
        <v>4</v>
      </c>
      <c r="M55" t="s">
        <v>50</v>
      </c>
      <c r="N55">
        <v>6.4</v>
      </c>
      <c r="O55">
        <v>3</v>
      </c>
      <c r="P55">
        <f t="shared" si="1"/>
        <v>19.200000000000003</v>
      </c>
      <c r="Q55">
        <f>1.5*1.1</f>
        <v>1.6500000000000001</v>
      </c>
      <c r="R55">
        <f t="shared" si="2"/>
        <v>17.550000000000004</v>
      </c>
    </row>
    <row r="56" spans="1:18" x14ac:dyDescent="0.25">
      <c r="A56" t="s">
        <v>286</v>
      </c>
      <c r="B56">
        <v>4</v>
      </c>
      <c r="M56" t="s">
        <v>291</v>
      </c>
      <c r="N56">
        <v>98.26</v>
      </c>
      <c r="O56">
        <v>3</v>
      </c>
      <c r="P56">
        <f t="shared" si="1"/>
        <v>294.78000000000003</v>
      </c>
      <c r="Q56">
        <f>(17*1.5*1)+(1.8*2.1)+(1*1.8*2.1)</f>
        <v>33.06</v>
      </c>
      <c r="R56">
        <f t="shared" si="2"/>
        <v>261.72000000000003</v>
      </c>
    </row>
    <row r="57" spans="1:18" x14ac:dyDescent="0.25">
      <c r="A57" t="s">
        <v>286</v>
      </c>
      <c r="B57">
        <v>4</v>
      </c>
      <c r="M57" t="s">
        <v>292</v>
      </c>
      <c r="N57">
        <v>33.130000000000003</v>
      </c>
      <c r="O57">
        <v>3</v>
      </c>
      <c r="P57">
        <f t="shared" si="1"/>
        <v>99.390000000000015</v>
      </c>
      <c r="Q57">
        <f>1*2.1</f>
        <v>2.1</v>
      </c>
      <c r="R57">
        <f t="shared" si="2"/>
        <v>97.29000000000002</v>
      </c>
    </row>
    <row r="58" spans="1:18" x14ac:dyDescent="0.25">
      <c r="A58" t="s">
        <v>286</v>
      </c>
      <c r="B58">
        <v>4</v>
      </c>
      <c r="M58" t="s">
        <v>293</v>
      </c>
      <c r="N58">
        <v>12.24</v>
      </c>
      <c r="O58">
        <v>3</v>
      </c>
      <c r="P58">
        <f t="shared" si="1"/>
        <v>36.72</v>
      </c>
      <c r="Q58">
        <f>2.1*2</f>
        <v>4.2</v>
      </c>
      <c r="R58">
        <f t="shared" si="2"/>
        <v>32.519999999999996</v>
      </c>
    </row>
    <row r="59" spans="1:18" x14ac:dyDescent="0.25">
      <c r="A59" t="s">
        <v>286</v>
      </c>
      <c r="B59">
        <v>4</v>
      </c>
      <c r="M59" t="s">
        <v>31</v>
      </c>
      <c r="N59">
        <v>11.84</v>
      </c>
      <c r="O59">
        <v>3</v>
      </c>
      <c r="P59">
        <f t="shared" ref="P59" si="3">O59*N59</f>
        <v>35.519999999999996</v>
      </c>
      <c r="Q59">
        <f>0.8*2.1</f>
        <v>1.6800000000000002</v>
      </c>
      <c r="R59">
        <f t="shared" si="2"/>
        <v>33.839999999999996</v>
      </c>
    </row>
    <row r="60" spans="1:18" x14ac:dyDescent="0.25">
      <c r="A60" t="s">
        <v>286</v>
      </c>
      <c r="B60">
        <v>25.29</v>
      </c>
      <c r="M60" t="s">
        <v>294</v>
      </c>
      <c r="N60">
        <v>76.06</v>
      </c>
      <c r="O60">
        <v>3</v>
      </c>
      <c r="P60">
        <f t="shared" ref="P60:P66" si="4">O60*N60</f>
        <v>228.18</v>
      </c>
      <c r="Q60">
        <f>(17*1.5*1)+(5*2*1)+(1.8*2.1)+(0.8*2.1)</f>
        <v>40.96</v>
      </c>
      <c r="R60">
        <f t="shared" si="2"/>
        <v>187.22</v>
      </c>
    </row>
    <row r="61" spans="1:18" x14ac:dyDescent="0.25">
      <c r="A61" t="s">
        <v>286</v>
      </c>
      <c r="B61">
        <v>18.5</v>
      </c>
      <c r="M61" t="s">
        <v>295</v>
      </c>
      <c r="N61">
        <v>203.99</v>
      </c>
      <c r="O61">
        <v>3</v>
      </c>
      <c r="P61">
        <f t="shared" si="4"/>
        <v>611.97</v>
      </c>
      <c r="Q61">
        <f>(35*1.5*1)+(6*2*1)+(1.8*2.1)+(0.8*2.1)</f>
        <v>69.960000000000008</v>
      </c>
      <c r="R61">
        <f t="shared" si="2"/>
        <v>542.01</v>
      </c>
    </row>
    <row r="62" spans="1:18" x14ac:dyDescent="0.25">
      <c r="A62" t="s">
        <v>286</v>
      </c>
      <c r="B62">
        <v>79.39</v>
      </c>
      <c r="M62" t="s">
        <v>408</v>
      </c>
      <c r="N62">
        <v>13.82</v>
      </c>
      <c r="O62">
        <v>3</v>
      </c>
      <c r="P62">
        <f t="shared" si="4"/>
        <v>41.46</v>
      </c>
      <c r="Q62">
        <f>1.2*2.1</f>
        <v>2.52</v>
      </c>
      <c r="R62">
        <f t="shared" si="2"/>
        <v>38.94</v>
      </c>
    </row>
    <row r="63" spans="1:18" x14ac:dyDescent="0.25">
      <c r="A63" t="s">
        <v>286</v>
      </c>
      <c r="B63">
        <v>25.4</v>
      </c>
      <c r="M63" t="s">
        <v>409</v>
      </c>
      <c r="N63">
        <v>11.84</v>
      </c>
      <c r="O63">
        <v>3</v>
      </c>
      <c r="P63">
        <f t="shared" si="4"/>
        <v>35.519999999999996</v>
      </c>
      <c r="Q63">
        <f>0.8*2.1</f>
        <v>1.6800000000000002</v>
      </c>
      <c r="R63">
        <f t="shared" si="2"/>
        <v>33.839999999999996</v>
      </c>
    </row>
    <row r="64" spans="1:18" x14ac:dyDescent="0.25">
      <c r="A64" t="s">
        <v>286</v>
      </c>
      <c r="B64">
        <v>59.28</v>
      </c>
      <c r="M64" t="s">
        <v>296</v>
      </c>
      <c r="N64">
        <v>204.55</v>
      </c>
      <c r="O64">
        <v>3</v>
      </c>
      <c r="P64">
        <f t="shared" si="4"/>
        <v>613.65000000000009</v>
      </c>
      <c r="Q64">
        <f>(35*1.5*1)+(6*2*1)+(1.8*2.1)+(0.8*2.1)</f>
        <v>69.960000000000008</v>
      </c>
      <c r="R64">
        <f t="shared" si="2"/>
        <v>543.69000000000005</v>
      </c>
    </row>
    <row r="65" spans="1:18" x14ac:dyDescent="0.25">
      <c r="A65" t="s">
        <v>286</v>
      </c>
      <c r="B65">
        <v>80.53</v>
      </c>
      <c r="M65" t="s">
        <v>411</v>
      </c>
      <c r="N65">
        <v>13.82</v>
      </c>
      <c r="O65">
        <v>3</v>
      </c>
      <c r="P65">
        <f t="shared" si="4"/>
        <v>41.46</v>
      </c>
      <c r="Q65">
        <f>1.2*2.1</f>
        <v>2.52</v>
      </c>
      <c r="R65">
        <f t="shared" ref="R65:R66" si="5">P65-Q65</f>
        <v>38.94</v>
      </c>
    </row>
    <row r="66" spans="1:18" x14ac:dyDescent="0.25">
      <c r="A66" t="s">
        <v>286</v>
      </c>
      <c r="B66">
        <v>47.68</v>
      </c>
      <c r="M66" t="s">
        <v>412</v>
      </c>
      <c r="N66">
        <v>11.84</v>
      </c>
      <c r="O66">
        <v>3</v>
      </c>
      <c r="P66">
        <f t="shared" si="4"/>
        <v>35.519999999999996</v>
      </c>
      <c r="Q66">
        <f>0.8*2.1</f>
        <v>1.6800000000000002</v>
      </c>
      <c r="R66">
        <f t="shared" si="5"/>
        <v>33.839999999999996</v>
      </c>
    </row>
    <row r="67" spans="1:18" x14ac:dyDescent="0.25">
      <c r="A67" t="s">
        <v>286</v>
      </c>
      <c r="B67">
        <v>30.09</v>
      </c>
      <c r="R67">
        <f>SUM(R53:R66)</f>
        <v>1896.5</v>
      </c>
    </row>
    <row r="68" spans="1:18" x14ac:dyDescent="0.25">
      <c r="A68" t="s">
        <v>286</v>
      </c>
      <c r="B68">
        <v>67.2</v>
      </c>
    </row>
    <row r="69" spans="1:18" x14ac:dyDescent="0.25">
      <c r="A69" t="s">
        <v>286</v>
      </c>
      <c r="B69">
        <v>4</v>
      </c>
    </row>
    <row r="70" spans="1:18" x14ac:dyDescent="0.25">
      <c r="A70" t="s">
        <v>286</v>
      </c>
      <c r="B70">
        <v>4</v>
      </c>
    </row>
    <row r="71" spans="1:18" x14ac:dyDescent="0.25">
      <c r="A71" t="s">
        <v>286</v>
      </c>
      <c r="B71">
        <v>4</v>
      </c>
    </row>
    <row r="72" spans="1:18" x14ac:dyDescent="0.25">
      <c r="A72" t="s">
        <v>286</v>
      </c>
      <c r="B72">
        <v>4</v>
      </c>
    </row>
    <row r="73" spans="1:18" x14ac:dyDescent="0.25">
      <c r="A73" t="s">
        <v>286</v>
      </c>
      <c r="B73">
        <v>2</v>
      </c>
    </row>
    <row r="74" spans="1:18" x14ac:dyDescent="0.25">
      <c r="A74" t="s">
        <v>286</v>
      </c>
      <c r="B74">
        <v>4</v>
      </c>
    </row>
    <row r="75" spans="1:18" x14ac:dyDescent="0.25">
      <c r="A75" t="s">
        <v>286</v>
      </c>
      <c r="B75">
        <v>4</v>
      </c>
    </row>
    <row r="76" spans="1:18" x14ac:dyDescent="0.25">
      <c r="A76" t="s">
        <v>286</v>
      </c>
      <c r="B76">
        <v>4</v>
      </c>
    </row>
    <row r="77" spans="1:18" x14ac:dyDescent="0.25">
      <c r="A77" t="s">
        <v>286</v>
      </c>
      <c r="B77">
        <v>4</v>
      </c>
    </row>
    <row r="78" spans="1:18" x14ac:dyDescent="0.25">
      <c r="A78" t="s">
        <v>286</v>
      </c>
      <c r="B78">
        <v>4</v>
      </c>
    </row>
    <row r="79" spans="1:18" x14ac:dyDescent="0.25">
      <c r="A79" t="s">
        <v>286</v>
      </c>
      <c r="B79">
        <v>29.54</v>
      </c>
    </row>
    <row r="80" spans="1:18" x14ac:dyDescent="0.25">
      <c r="A80" t="s">
        <v>286</v>
      </c>
      <c r="B80">
        <v>18.5</v>
      </c>
    </row>
    <row r="81" spans="1:2" x14ac:dyDescent="0.25">
      <c r="A81" t="s">
        <v>286</v>
      </c>
      <c r="B81">
        <v>79.39</v>
      </c>
    </row>
    <row r="82" spans="1:2" x14ac:dyDescent="0.25">
      <c r="A82" t="s">
        <v>286</v>
      </c>
      <c r="B82">
        <v>25.4</v>
      </c>
    </row>
    <row r="83" spans="1:2" x14ac:dyDescent="0.25">
      <c r="A83" t="s">
        <v>286</v>
      </c>
      <c r="B83">
        <v>59.28</v>
      </c>
    </row>
    <row r="84" spans="1:2" x14ac:dyDescent="0.25">
      <c r="A84" t="s">
        <v>286</v>
      </c>
      <c r="B84">
        <v>80.53</v>
      </c>
    </row>
    <row r="85" spans="1:2" x14ac:dyDescent="0.25">
      <c r="A85" t="s">
        <v>286</v>
      </c>
      <c r="B85">
        <v>47.68</v>
      </c>
    </row>
    <row r="86" spans="1:2" x14ac:dyDescent="0.25">
      <c r="A86" t="s">
        <v>286</v>
      </c>
      <c r="B86">
        <v>30.09</v>
      </c>
    </row>
    <row r="87" spans="1:2" x14ac:dyDescent="0.25">
      <c r="A87" t="s">
        <v>286</v>
      </c>
      <c r="B87">
        <v>67.2</v>
      </c>
    </row>
    <row r="88" spans="1:2" x14ac:dyDescent="0.25">
      <c r="A88" t="s">
        <v>286</v>
      </c>
      <c r="B88">
        <v>4</v>
      </c>
    </row>
    <row r="89" spans="1:2" x14ac:dyDescent="0.25">
      <c r="A89" t="s">
        <v>286</v>
      </c>
      <c r="B89">
        <v>4</v>
      </c>
    </row>
    <row r="90" spans="1:2" x14ac:dyDescent="0.25">
      <c r="A90" t="s">
        <v>286</v>
      </c>
      <c r="B90">
        <v>4</v>
      </c>
    </row>
    <row r="91" spans="1:2" x14ac:dyDescent="0.25">
      <c r="A91" t="s">
        <v>286</v>
      </c>
      <c r="B91">
        <v>4</v>
      </c>
    </row>
    <row r="92" spans="1:2" x14ac:dyDescent="0.25">
      <c r="A92" t="s">
        <v>286</v>
      </c>
      <c r="B92">
        <v>2</v>
      </c>
    </row>
    <row r="93" spans="1:2" x14ac:dyDescent="0.25">
      <c r="A93" t="s">
        <v>286</v>
      </c>
      <c r="B93">
        <v>4</v>
      </c>
    </row>
    <row r="94" spans="1:2" x14ac:dyDescent="0.25">
      <c r="A94" t="s">
        <v>286</v>
      </c>
      <c r="B94">
        <v>4</v>
      </c>
    </row>
    <row r="95" spans="1:2" x14ac:dyDescent="0.25">
      <c r="A95" t="s">
        <v>286</v>
      </c>
      <c r="B95">
        <v>4</v>
      </c>
    </row>
    <row r="96" spans="1:2" x14ac:dyDescent="0.25">
      <c r="A96" t="s">
        <v>286</v>
      </c>
      <c r="B96">
        <v>4</v>
      </c>
    </row>
    <row r="97" spans="1:3" x14ac:dyDescent="0.25">
      <c r="A97" t="s">
        <v>286</v>
      </c>
      <c r="B97">
        <v>4</v>
      </c>
    </row>
    <row r="98" spans="1:3" x14ac:dyDescent="0.25">
      <c r="A98" t="s">
        <v>286</v>
      </c>
      <c r="B98">
        <v>29.54</v>
      </c>
    </row>
    <row r="99" spans="1:3" x14ac:dyDescent="0.25">
      <c r="A99" t="s">
        <v>286</v>
      </c>
      <c r="B99">
        <v>18.5</v>
      </c>
    </row>
    <row r="100" spans="1:3" x14ac:dyDescent="0.25">
      <c r="A100" t="s">
        <v>286</v>
      </c>
      <c r="B100">
        <v>17.88</v>
      </c>
    </row>
    <row r="101" spans="1:3" x14ac:dyDescent="0.25">
      <c r="A101" t="s">
        <v>286</v>
      </c>
      <c r="B101">
        <v>11.28</v>
      </c>
    </row>
    <row r="102" spans="1:3" x14ac:dyDescent="0.25">
      <c r="A102" t="s">
        <v>286</v>
      </c>
      <c r="B102">
        <v>25.88</v>
      </c>
    </row>
    <row r="103" spans="1:3" x14ac:dyDescent="0.25">
      <c r="A103" t="s">
        <v>286</v>
      </c>
      <c r="B103">
        <v>5.99</v>
      </c>
    </row>
    <row r="104" spans="1:3" x14ac:dyDescent="0.25">
      <c r="A104" t="s">
        <v>286</v>
      </c>
      <c r="B104">
        <v>2</v>
      </c>
    </row>
    <row r="105" spans="1:3" x14ac:dyDescent="0.25">
      <c r="A105" t="s">
        <v>286</v>
      </c>
      <c r="B105">
        <v>4.95</v>
      </c>
    </row>
    <row r="106" spans="1:3" x14ac:dyDescent="0.25">
      <c r="A106" t="s">
        <v>286</v>
      </c>
      <c r="B106">
        <v>5.9</v>
      </c>
    </row>
    <row r="107" spans="1:3" x14ac:dyDescent="0.25">
      <c r="A107" t="s">
        <v>286</v>
      </c>
      <c r="B107">
        <v>2</v>
      </c>
    </row>
    <row r="108" spans="1:3" x14ac:dyDescent="0.25">
      <c r="A108" t="s">
        <v>286</v>
      </c>
      <c r="B108">
        <v>2</v>
      </c>
    </row>
    <row r="109" spans="1:3" x14ac:dyDescent="0.25">
      <c r="A109" t="s">
        <v>286</v>
      </c>
      <c r="B109">
        <v>5.9</v>
      </c>
    </row>
    <row r="110" spans="1:3" x14ac:dyDescent="0.25">
      <c r="A110" t="s">
        <v>286</v>
      </c>
      <c r="B110">
        <v>2</v>
      </c>
    </row>
    <row r="111" spans="1:3" x14ac:dyDescent="0.25">
      <c r="A111" t="s">
        <v>286</v>
      </c>
      <c r="B111">
        <v>2</v>
      </c>
    </row>
    <row r="112" spans="1:3" x14ac:dyDescent="0.25">
      <c r="B112" s="15">
        <f>SUM(B44:B111)</f>
        <v>1468.6300000000003</v>
      </c>
      <c r="C112" s="15" t="s">
        <v>4</v>
      </c>
    </row>
    <row r="113" spans="1:2" x14ac:dyDescent="0.25">
      <c r="A113" t="s">
        <v>287</v>
      </c>
      <c r="B113">
        <v>52.3</v>
      </c>
    </row>
    <row r="114" spans="1:2" x14ac:dyDescent="0.25">
      <c r="A114" t="s">
        <v>287</v>
      </c>
      <c r="B114">
        <v>11.22</v>
      </c>
    </row>
    <row r="115" spans="1:2" x14ac:dyDescent="0.25">
      <c r="A115" t="s">
        <v>287</v>
      </c>
      <c r="B115">
        <v>17.84</v>
      </c>
    </row>
    <row r="116" spans="1:2" x14ac:dyDescent="0.25">
      <c r="A116" t="s">
        <v>287</v>
      </c>
      <c r="B116">
        <v>17.84</v>
      </c>
    </row>
    <row r="117" spans="1:2" x14ac:dyDescent="0.25">
      <c r="A117" t="s">
        <v>287</v>
      </c>
      <c r="B117">
        <v>4</v>
      </c>
    </row>
    <row r="118" spans="1:2" x14ac:dyDescent="0.25">
      <c r="A118" t="s">
        <v>287</v>
      </c>
      <c r="B118">
        <v>4</v>
      </c>
    </row>
    <row r="119" spans="1:2" x14ac:dyDescent="0.25">
      <c r="A119" t="s">
        <v>287</v>
      </c>
      <c r="B119">
        <v>4.95</v>
      </c>
    </row>
    <row r="120" spans="1:2" x14ac:dyDescent="0.25">
      <c r="A120" t="s">
        <v>287</v>
      </c>
      <c r="B120">
        <v>2</v>
      </c>
    </row>
    <row r="121" spans="1:2" x14ac:dyDescent="0.25">
      <c r="A121" t="s">
        <v>287</v>
      </c>
      <c r="B121">
        <v>42.03</v>
      </c>
    </row>
    <row r="122" spans="1:2" x14ac:dyDescent="0.25">
      <c r="A122" t="s">
        <v>287</v>
      </c>
      <c r="B122">
        <v>52.3</v>
      </c>
    </row>
    <row r="123" spans="1:2" x14ac:dyDescent="0.25">
      <c r="A123" t="s">
        <v>287</v>
      </c>
      <c r="B123">
        <v>10.6</v>
      </c>
    </row>
    <row r="124" spans="1:2" x14ac:dyDescent="0.25">
      <c r="A124" t="s">
        <v>287</v>
      </c>
      <c r="B124">
        <v>16.04</v>
      </c>
    </row>
    <row r="125" spans="1:2" x14ac:dyDescent="0.25">
      <c r="A125" t="s">
        <v>287</v>
      </c>
      <c r="B125">
        <v>17.84</v>
      </c>
    </row>
    <row r="126" spans="1:2" x14ac:dyDescent="0.25">
      <c r="A126" t="s">
        <v>287</v>
      </c>
      <c r="B126">
        <v>4.95</v>
      </c>
    </row>
    <row r="127" spans="1:2" x14ac:dyDescent="0.25">
      <c r="A127" t="s">
        <v>287</v>
      </c>
      <c r="B127">
        <v>4</v>
      </c>
    </row>
    <row r="128" spans="1:2" x14ac:dyDescent="0.25">
      <c r="A128" t="s">
        <v>287</v>
      </c>
      <c r="B128">
        <v>4</v>
      </c>
    </row>
    <row r="129" spans="1:2" x14ac:dyDescent="0.25">
      <c r="A129" t="s">
        <v>287</v>
      </c>
      <c r="B129">
        <v>4</v>
      </c>
    </row>
    <row r="130" spans="1:2" x14ac:dyDescent="0.25">
      <c r="A130" t="s">
        <v>287</v>
      </c>
      <c r="B130">
        <v>41.7</v>
      </c>
    </row>
    <row r="131" spans="1:2" x14ac:dyDescent="0.25">
      <c r="A131" t="s">
        <v>287</v>
      </c>
      <c r="B131">
        <v>52.3</v>
      </c>
    </row>
    <row r="132" spans="1:2" x14ac:dyDescent="0.25">
      <c r="A132" t="s">
        <v>287</v>
      </c>
      <c r="B132">
        <v>10.6</v>
      </c>
    </row>
    <row r="133" spans="1:2" x14ac:dyDescent="0.25">
      <c r="A133" t="s">
        <v>287</v>
      </c>
      <c r="B133">
        <v>16.04</v>
      </c>
    </row>
    <row r="134" spans="1:2" x14ac:dyDescent="0.25">
      <c r="A134" t="s">
        <v>287</v>
      </c>
      <c r="B134">
        <v>17.84</v>
      </c>
    </row>
    <row r="135" spans="1:2" x14ac:dyDescent="0.25">
      <c r="A135" t="s">
        <v>287</v>
      </c>
      <c r="B135">
        <v>4</v>
      </c>
    </row>
    <row r="136" spans="1:2" x14ac:dyDescent="0.25">
      <c r="A136" t="s">
        <v>287</v>
      </c>
      <c r="B136">
        <v>4</v>
      </c>
    </row>
    <row r="137" spans="1:2" x14ac:dyDescent="0.25">
      <c r="A137" t="s">
        <v>287</v>
      </c>
      <c r="B137">
        <v>4</v>
      </c>
    </row>
    <row r="138" spans="1:2" x14ac:dyDescent="0.25">
      <c r="A138" t="s">
        <v>287</v>
      </c>
      <c r="B138">
        <v>4</v>
      </c>
    </row>
    <row r="139" spans="1:2" x14ac:dyDescent="0.25">
      <c r="A139" t="s">
        <v>287</v>
      </c>
      <c r="B139">
        <v>41.7</v>
      </c>
    </row>
    <row r="140" spans="1:2" x14ac:dyDescent="0.25">
      <c r="A140" t="s">
        <v>287</v>
      </c>
      <c r="B140">
        <v>56.49</v>
      </c>
    </row>
    <row r="141" spans="1:2" x14ac:dyDescent="0.25">
      <c r="A141" t="s">
        <v>287</v>
      </c>
      <c r="B141">
        <v>5.35</v>
      </c>
    </row>
    <row r="142" spans="1:2" x14ac:dyDescent="0.25">
      <c r="A142" t="s">
        <v>287</v>
      </c>
      <c r="B142">
        <v>24.18</v>
      </c>
    </row>
    <row r="143" spans="1:2" x14ac:dyDescent="0.25">
      <c r="A143" t="s">
        <v>287</v>
      </c>
      <c r="B143">
        <v>17.88</v>
      </c>
    </row>
    <row r="144" spans="1:2" x14ac:dyDescent="0.25">
      <c r="A144" t="s">
        <v>287</v>
      </c>
      <c r="B144">
        <v>11.28</v>
      </c>
    </row>
    <row r="145" spans="1:2" x14ac:dyDescent="0.25">
      <c r="A145" t="s">
        <v>287</v>
      </c>
      <c r="B145">
        <v>18.100000000000001</v>
      </c>
    </row>
    <row r="146" spans="1:2" x14ac:dyDescent="0.25">
      <c r="A146" t="s">
        <v>287</v>
      </c>
      <c r="B146">
        <v>10.34</v>
      </c>
    </row>
    <row r="147" spans="1:2" x14ac:dyDescent="0.25">
      <c r="A147" t="s">
        <v>287</v>
      </c>
      <c r="B147">
        <v>3.69</v>
      </c>
    </row>
    <row r="148" spans="1:2" x14ac:dyDescent="0.25">
      <c r="A148" t="s">
        <v>287</v>
      </c>
      <c r="B148">
        <v>13.38</v>
      </c>
    </row>
    <row r="149" spans="1:2" x14ac:dyDescent="0.25">
      <c r="A149" t="s">
        <v>287</v>
      </c>
      <c r="B149">
        <v>7.75</v>
      </c>
    </row>
    <row r="150" spans="1:2" x14ac:dyDescent="0.25">
      <c r="A150" t="s">
        <v>287</v>
      </c>
      <c r="B150">
        <v>3.69</v>
      </c>
    </row>
    <row r="151" spans="1:2" x14ac:dyDescent="0.25">
      <c r="A151" t="s">
        <v>287</v>
      </c>
      <c r="B151">
        <v>3.69</v>
      </c>
    </row>
    <row r="152" spans="1:2" x14ac:dyDescent="0.25">
      <c r="A152" t="s">
        <v>287</v>
      </c>
      <c r="B152">
        <v>3.69</v>
      </c>
    </row>
    <row r="153" spans="1:2" x14ac:dyDescent="0.25">
      <c r="A153" t="s">
        <v>287</v>
      </c>
      <c r="B153">
        <v>3.69</v>
      </c>
    </row>
    <row r="154" spans="1:2" x14ac:dyDescent="0.25">
      <c r="A154" t="s">
        <v>287</v>
      </c>
      <c r="B154">
        <v>3.67</v>
      </c>
    </row>
    <row r="155" spans="1:2" x14ac:dyDescent="0.25">
      <c r="A155" t="s">
        <v>287</v>
      </c>
      <c r="B155">
        <v>2.61</v>
      </c>
    </row>
    <row r="156" spans="1:2" x14ac:dyDescent="0.25">
      <c r="A156" t="s">
        <v>287</v>
      </c>
      <c r="B156">
        <v>3.32</v>
      </c>
    </row>
    <row r="157" spans="1:2" x14ac:dyDescent="0.25">
      <c r="A157" t="s">
        <v>287</v>
      </c>
      <c r="B157">
        <v>8.42</v>
      </c>
    </row>
    <row r="158" spans="1:2" x14ac:dyDescent="0.25">
      <c r="A158" t="s">
        <v>287</v>
      </c>
      <c r="B158">
        <v>3.48</v>
      </c>
    </row>
    <row r="159" spans="1:2" x14ac:dyDescent="0.25">
      <c r="A159" t="s">
        <v>287</v>
      </c>
      <c r="B159">
        <v>10.38</v>
      </c>
    </row>
    <row r="160" spans="1:2" x14ac:dyDescent="0.25">
      <c r="A160" t="s">
        <v>287</v>
      </c>
      <c r="B160">
        <v>3.69</v>
      </c>
    </row>
    <row r="161" spans="1:3" x14ac:dyDescent="0.25">
      <c r="A161" t="s">
        <v>287</v>
      </c>
      <c r="B161">
        <v>10.35</v>
      </c>
    </row>
    <row r="162" spans="1:3" x14ac:dyDescent="0.25">
      <c r="A162" t="s">
        <v>287</v>
      </c>
      <c r="B162">
        <v>18.100000000000001</v>
      </c>
    </row>
    <row r="163" spans="1:3" x14ac:dyDescent="0.25">
      <c r="A163" t="s">
        <v>287</v>
      </c>
      <c r="B163">
        <v>18.100000000000001</v>
      </c>
    </row>
    <row r="164" spans="1:3" x14ac:dyDescent="0.25">
      <c r="A164" t="s">
        <v>287</v>
      </c>
      <c r="B164">
        <v>19.53</v>
      </c>
    </row>
    <row r="165" spans="1:3" x14ac:dyDescent="0.25">
      <c r="A165" t="s">
        <v>287</v>
      </c>
      <c r="B165">
        <v>18.100000000000001</v>
      </c>
    </row>
    <row r="166" spans="1:3" x14ac:dyDescent="0.25">
      <c r="B166" s="15">
        <f>SUM(B113:B165)</f>
        <v>769.04000000000042</v>
      </c>
      <c r="C166" s="15" t="s">
        <v>4</v>
      </c>
    </row>
    <row r="291" spans="5:5" x14ac:dyDescent="0.25">
      <c r="E291">
        <f>B166+B112+B43</f>
        <v>2688.400000000001</v>
      </c>
    </row>
  </sheetData>
  <phoneticPr fontId="2" type="noConversion"/>
  <pageMargins left="0.511811024" right="0.511811024" top="0.78740157499999996" bottom="0.78740157499999996" header="0.31496062000000002" footer="0.31496062000000002"/>
  <pageSetup paperSize="9" scale="3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BreakPreview" topLeftCell="D1" zoomScale="60" zoomScaleNormal="100" workbookViewId="0">
      <selection activeCell="I7" sqref="I7"/>
    </sheetView>
  </sheetViews>
  <sheetFormatPr defaultRowHeight="15" x14ac:dyDescent="0.25"/>
  <cols>
    <col min="4" max="4" width="32" bestFit="1" customWidth="1"/>
    <col min="11" max="11" width="27.42578125" customWidth="1"/>
  </cols>
  <sheetData>
    <row r="1" spans="1:13" x14ac:dyDescent="0.25">
      <c r="A1" s="19" t="s">
        <v>148</v>
      </c>
      <c r="B1" s="19"/>
      <c r="C1" s="19"/>
      <c r="D1" s="19"/>
      <c r="E1" s="19"/>
      <c r="F1" s="19"/>
      <c r="H1" s="19" t="s">
        <v>148</v>
      </c>
      <c r="I1" s="19"/>
      <c r="J1" s="19"/>
      <c r="K1" s="19"/>
      <c r="L1" s="19"/>
      <c r="M1" s="19"/>
    </row>
    <row r="2" spans="1:13" x14ac:dyDescent="0.25">
      <c r="A2" s="18" t="s">
        <v>149</v>
      </c>
      <c r="B2" s="18"/>
      <c r="C2" s="18"/>
      <c r="D2" s="18"/>
      <c r="E2" s="18"/>
      <c r="F2" s="18"/>
      <c r="H2" s="18" t="s">
        <v>172</v>
      </c>
      <c r="I2" s="18"/>
      <c r="J2" s="18"/>
      <c r="K2" s="18"/>
      <c r="L2" s="18"/>
      <c r="M2" s="18"/>
    </row>
    <row r="3" spans="1:13" x14ac:dyDescent="0.25">
      <c r="A3" s="7" t="s">
        <v>150</v>
      </c>
      <c r="B3" s="7" t="s">
        <v>151</v>
      </c>
      <c r="C3" s="7" t="s">
        <v>152</v>
      </c>
      <c r="D3" s="7" t="s">
        <v>153</v>
      </c>
      <c r="E3" s="7" t="s">
        <v>154</v>
      </c>
      <c r="F3" s="7" t="s">
        <v>267</v>
      </c>
      <c r="H3" s="7" t="s">
        <v>150</v>
      </c>
      <c r="I3" s="7" t="s">
        <v>151</v>
      </c>
      <c r="J3" s="7" t="s">
        <v>152</v>
      </c>
      <c r="K3" s="7" t="s">
        <v>153</v>
      </c>
      <c r="L3" s="7" t="s">
        <v>154</v>
      </c>
      <c r="M3" s="7" t="s">
        <v>267</v>
      </c>
    </row>
    <row r="4" spans="1:13" x14ac:dyDescent="0.25">
      <c r="A4" s="8" t="s">
        <v>155</v>
      </c>
      <c r="B4" s="9">
        <v>0.8</v>
      </c>
      <c r="C4" s="9">
        <v>2.1</v>
      </c>
      <c r="D4" s="10" t="s">
        <v>156</v>
      </c>
      <c r="E4" s="8">
        <v>14</v>
      </c>
      <c r="F4" s="8">
        <f t="shared" ref="F4:F12" si="0">(B4*C4)*E4</f>
        <v>23.520000000000003</v>
      </c>
      <c r="H4" s="8" t="s">
        <v>173</v>
      </c>
      <c r="I4" s="9">
        <v>1.5</v>
      </c>
      <c r="J4" s="9">
        <v>1.1000000000000001</v>
      </c>
      <c r="K4" s="10" t="s">
        <v>174</v>
      </c>
      <c r="L4" s="8">
        <v>24</v>
      </c>
      <c r="M4" s="8">
        <f t="shared" ref="M4:M12" si="1">(I4*J4)*L4</f>
        <v>39.6</v>
      </c>
    </row>
    <row r="5" spans="1:13" x14ac:dyDescent="0.25">
      <c r="A5" s="6" t="s">
        <v>157</v>
      </c>
      <c r="B5" s="11">
        <v>9.85</v>
      </c>
      <c r="C5" s="11">
        <v>3</v>
      </c>
      <c r="D5" t="s">
        <v>158</v>
      </c>
      <c r="E5" s="6">
        <v>1</v>
      </c>
      <c r="F5" s="6">
        <f t="shared" si="0"/>
        <v>29.549999999999997</v>
      </c>
      <c r="H5" s="6" t="s">
        <v>175</v>
      </c>
      <c r="I5" s="11">
        <v>1.2</v>
      </c>
      <c r="J5" s="11">
        <v>0.6</v>
      </c>
      <c r="K5" t="s">
        <v>176</v>
      </c>
      <c r="L5" s="6">
        <v>1</v>
      </c>
      <c r="M5" s="6">
        <f t="shared" si="1"/>
        <v>0.72</v>
      </c>
    </row>
    <row r="6" spans="1:13" x14ac:dyDescent="0.25">
      <c r="A6" s="8" t="s">
        <v>159</v>
      </c>
      <c r="B6" s="9">
        <v>1.2</v>
      </c>
      <c r="C6" s="9">
        <v>2.1</v>
      </c>
      <c r="D6" s="10" t="s">
        <v>160</v>
      </c>
      <c r="E6" s="8">
        <v>2</v>
      </c>
      <c r="F6" s="8">
        <f t="shared" si="0"/>
        <v>5.04</v>
      </c>
      <c r="H6" s="8" t="s">
        <v>177</v>
      </c>
      <c r="I6" s="9">
        <v>1.3</v>
      </c>
      <c r="J6" s="9">
        <v>1</v>
      </c>
      <c r="K6" t="s">
        <v>180</v>
      </c>
      <c r="L6" s="8">
        <v>1</v>
      </c>
      <c r="M6" s="8">
        <f t="shared" si="1"/>
        <v>1.3</v>
      </c>
    </row>
    <row r="7" spans="1:13" x14ac:dyDescent="0.25">
      <c r="A7" s="6" t="s">
        <v>268</v>
      </c>
      <c r="B7" s="11">
        <v>0.9</v>
      </c>
      <c r="C7" s="11">
        <v>2.1</v>
      </c>
      <c r="D7" t="s">
        <v>269</v>
      </c>
      <c r="E7" s="6">
        <v>6</v>
      </c>
      <c r="F7" s="6">
        <f t="shared" si="0"/>
        <v>11.34</v>
      </c>
      <c r="H7" s="6" t="s">
        <v>179</v>
      </c>
      <c r="I7" s="11">
        <v>1.5</v>
      </c>
      <c r="J7" s="11">
        <v>1</v>
      </c>
      <c r="K7" t="s">
        <v>180</v>
      </c>
      <c r="L7" s="6">
        <v>5</v>
      </c>
      <c r="M7" s="6">
        <f t="shared" si="1"/>
        <v>7.5</v>
      </c>
    </row>
    <row r="8" spans="1:13" x14ac:dyDescent="0.25">
      <c r="A8" s="8" t="s">
        <v>270</v>
      </c>
      <c r="B8" s="9">
        <v>0.8</v>
      </c>
      <c r="C8" s="9">
        <v>2.1</v>
      </c>
      <c r="D8" s="10" t="s">
        <v>271</v>
      </c>
      <c r="E8" s="8">
        <v>10</v>
      </c>
      <c r="F8" s="8">
        <f t="shared" si="0"/>
        <v>16.8</v>
      </c>
      <c r="H8" s="8" t="s">
        <v>181</v>
      </c>
      <c r="I8" s="9">
        <v>3</v>
      </c>
      <c r="J8" s="9">
        <v>1</v>
      </c>
      <c r="K8" s="10" t="s">
        <v>180</v>
      </c>
      <c r="L8" s="8">
        <v>2</v>
      </c>
      <c r="M8" s="8">
        <f t="shared" si="1"/>
        <v>6</v>
      </c>
    </row>
    <row r="9" spans="1:13" x14ac:dyDescent="0.25">
      <c r="A9" s="6" t="s">
        <v>272</v>
      </c>
      <c r="B9" s="11">
        <v>0.9</v>
      </c>
      <c r="C9" s="11">
        <v>2.1</v>
      </c>
      <c r="D9" t="s">
        <v>273</v>
      </c>
      <c r="E9" s="6">
        <v>6</v>
      </c>
      <c r="F9" s="6">
        <f t="shared" si="0"/>
        <v>11.34</v>
      </c>
      <c r="H9" s="6" t="s">
        <v>182</v>
      </c>
      <c r="I9" s="11">
        <v>2.2999999999999998</v>
      </c>
      <c r="J9" s="11">
        <v>1</v>
      </c>
      <c r="K9" t="s">
        <v>180</v>
      </c>
      <c r="L9" s="6">
        <v>2</v>
      </c>
      <c r="M9" s="6">
        <f t="shared" si="1"/>
        <v>4.5999999999999996</v>
      </c>
    </row>
    <row r="10" spans="1:13" ht="15" customHeight="1" x14ac:dyDescent="0.25">
      <c r="A10" s="8" t="s">
        <v>274</v>
      </c>
      <c r="B10" s="9">
        <v>0.6</v>
      </c>
      <c r="C10" s="9">
        <v>2.1</v>
      </c>
      <c r="D10" s="10" t="s">
        <v>273</v>
      </c>
      <c r="E10" s="8">
        <v>17</v>
      </c>
      <c r="F10" s="8">
        <f t="shared" si="0"/>
        <v>21.42</v>
      </c>
      <c r="H10" s="8" t="s">
        <v>183</v>
      </c>
      <c r="I10" s="9">
        <v>1.7</v>
      </c>
      <c r="J10" s="9">
        <v>1</v>
      </c>
      <c r="K10" s="10" t="s">
        <v>180</v>
      </c>
      <c r="L10" s="8">
        <v>4</v>
      </c>
      <c r="M10" s="8">
        <f t="shared" si="1"/>
        <v>6.8</v>
      </c>
    </row>
    <row r="11" spans="1:13" x14ac:dyDescent="0.25">
      <c r="A11" s="6" t="s">
        <v>275</v>
      </c>
      <c r="B11" s="11">
        <v>1</v>
      </c>
      <c r="C11">
        <v>2.1</v>
      </c>
      <c r="D11" t="s">
        <v>165</v>
      </c>
      <c r="E11" s="6">
        <v>1</v>
      </c>
      <c r="F11" s="6">
        <f t="shared" si="0"/>
        <v>2.1</v>
      </c>
      <c r="H11" s="6" t="s">
        <v>184</v>
      </c>
      <c r="I11" s="11">
        <v>1</v>
      </c>
      <c r="J11" s="11">
        <v>1</v>
      </c>
      <c r="K11" t="s">
        <v>180</v>
      </c>
      <c r="L11" s="6">
        <v>2</v>
      </c>
      <c r="M11" s="6">
        <f t="shared" si="1"/>
        <v>2</v>
      </c>
    </row>
    <row r="12" spans="1:13" x14ac:dyDescent="0.25">
      <c r="A12" s="8" t="s">
        <v>276</v>
      </c>
      <c r="B12" s="9">
        <v>1.4</v>
      </c>
      <c r="C12" s="9">
        <v>2.1</v>
      </c>
      <c r="D12" s="10" t="s">
        <v>171</v>
      </c>
      <c r="E12" s="8">
        <v>2</v>
      </c>
      <c r="F12" s="8">
        <f t="shared" si="0"/>
        <v>5.88</v>
      </c>
      <c r="H12" s="8" t="s">
        <v>277</v>
      </c>
      <c r="I12" s="9">
        <v>2</v>
      </c>
      <c r="J12" s="9">
        <v>1</v>
      </c>
      <c r="K12" s="10" t="s">
        <v>180</v>
      </c>
      <c r="L12" s="8">
        <v>1</v>
      </c>
      <c r="M12" s="8">
        <f t="shared" si="1"/>
        <v>2</v>
      </c>
    </row>
    <row r="13" spans="1:13" x14ac:dyDescent="0.25">
      <c r="A13" s="18" t="s">
        <v>161</v>
      </c>
      <c r="B13" s="18"/>
      <c r="C13" s="18"/>
      <c r="D13" s="18"/>
      <c r="E13" s="18"/>
      <c r="H13" s="18" t="s">
        <v>185</v>
      </c>
      <c r="I13" s="18"/>
      <c r="J13" s="18"/>
      <c r="K13" s="18"/>
      <c r="L13" s="18"/>
      <c r="M13" s="18"/>
    </row>
    <row r="14" spans="1:13" x14ac:dyDescent="0.25">
      <c r="A14" s="7" t="s">
        <v>150</v>
      </c>
      <c r="B14" s="7" t="s">
        <v>151</v>
      </c>
      <c r="C14" s="7" t="s">
        <v>152</v>
      </c>
      <c r="D14" s="7" t="s">
        <v>153</v>
      </c>
      <c r="E14" s="7" t="s">
        <v>154</v>
      </c>
      <c r="F14" s="7" t="s">
        <v>267</v>
      </c>
      <c r="H14" s="7" t="s">
        <v>150</v>
      </c>
      <c r="I14" s="7" t="s">
        <v>151</v>
      </c>
      <c r="J14" s="7" t="s">
        <v>152</v>
      </c>
      <c r="K14" s="7" t="s">
        <v>153</v>
      </c>
      <c r="L14" s="7" t="s">
        <v>154</v>
      </c>
      <c r="M14" s="7" t="s">
        <v>267</v>
      </c>
    </row>
    <row r="15" spans="1:13" x14ac:dyDescent="0.25">
      <c r="A15" s="8" t="s">
        <v>162</v>
      </c>
      <c r="B15" s="9">
        <v>1.8</v>
      </c>
      <c r="C15" s="10">
        <v>2.1</v>
      </c>
      <c r="D15" s="10" t="s">
        <v>163</v>
      </c>
      <c r="E15" s="8">
        <v>3</v>
      </c>
      <c r="F15" s="8">
        <f t="shared" ref="F15:F22" si="2">(B15*C15)*E15</f>
        <v>11.34</v>
      </c>
      <c r="H15" s="8" t="s">
        <v>186</v>
      </c>
      <c r="I15" s="9">
        <v>1.3</v>
      </c>
      <c r="J15" s="9">
        <v>1</v>
      </c>
      <c r="K15" s="10" t="s">
        <v>178</v>
      </c>
      <c r="L15" s="8">
        <v>1</v>
      </c>
      <c r="M15" s="8">
        <f t="shared" ref="M15:M21" si="3">(I15*J15)*L15</f>
        <v>1.3</v>
      </c>
    </row>
    <row r="16" spans="1:13" x14ac:dyDescent="0.25">
      <c r="A16" s="6" t="s">
        <v>164</v>
      </c>
      <c r="B16" s="11">
        <v>1.1000000000000001</v>
      </c>
      <c r="C16">
        <v>2.1</v>
      </c>
      <c r="D16" t="s">
        <v>165</v>
      </c>
      <c r="E16" s="6">
        <v>2</v>
      </c>
      <c r="F16" s="6">
        <f t="shared" si="2"/>
        <v>4.620000000000001</v>
      </c>
      <c r="H16" s="6" t="s">
        <v>187</v>
      </c>
      <c r="I16" s="11">
        <v>1.5</v>
      </c>
      <c r="J16" s="11">
        <v>1</v>
      </c>
      <c r="K16" t="s">
        <v>180</v>
      </c>
      <c r="L16" s="6">
        <v>5</v>
      </c>
      <c r="M16" s="6">
        <f t="shared" si="3"/>
        <v>7.5</v>
      </c>
    </row>
    <row r="17" spans="1:13" x14ac:dyDescent="0.25">
      <c r="A17" s="8" t="s">
        <v>166</v>
      </c>
      <c r="B17" s="9">
        <v>0.8</v>
      </c>
      <c r="C17" s="10">
        <v>2.1</v>
      </c>
      <c r="D17" s="10" t="s">
        <v>165</v>
      </c>
      <c r="E17" s="8">
        <v>13</v>
      </c>
      <c r="F17" s="8">
        <f t="shared" si="2"/>
        <v>21.840000000000003</v>
      </c>
      <c r="H17" s="8" t="s">
        <v>188</v>
      </c>
      <c r="I17" s="9">
        <v>3</v>
      </c>
      <c r="J17" s="9">
        <v>1</v>
      </c>
      <c r="K17" s="10" t="s">
        <v>180</v>
      </c>
      <c r="L17" s="8">
        <v>2</v>
      </c>
      <c r="M17" s="8">
        <f t="shared" si="3"/>
        <v>6</v>
      </c>
    </row>
    <row r="18" spans="1:13" x14ac:dyDescent="0.25">
      <c r="A18" s="6" t="s">
        <v>278</v>
      </c>
      <c r="B18" s="11">
        <v>0.9</v>
      </c>
      <c r="C18" s="11">
        <v>2.1</v>
      </c>
      <c r="D18" t="s">
        <v>156</v>
      </c>
      <c r="E18" s="6">
        <v>6</v>
      </c>
      <c r="F18" s="6">
        <f t="shared" si="2"/>
        <v>11.34</v>
      </c>
      <c r="H18" s="6" t="s">
        <v>189</v>
      </c>
      <c r="I18" s="11">
        <v>2.2999999999999998</v>
      </c>
      <c r="J18" s="11">
        <v>1</v>
      </c>
      <c r="K18" t="s">
        <v>180</v>
      </c>
      <c r="L18" s="6">
        <v>2</v>
      </c>
      <c r="M18" s="6">
        <f t="shared" si="3"/>
        <v>4.5999999999999996</v>
      </c>
    </row>
    <row r="19" spans="1:13" x14ac:dyDescent="0.25">
      <c r="A19" s="8" t="s">
        <v>279</v>
      </c>
      <c r="B19" s="9">
        <v>0.8</v>
      </c>
      <c r="C19" s="9">
        <v>2.1</v>
      </c>
      <c r="D19" s="10" t="s">
        <v>156</v>
      </c>
      <c r="E19" s="8">
        <v>10</v>
      </c>
      <c r="F19" s="8">
        <f t="shared" si="2"/>
        <v>16.8</v>
      </c>
      <c r="H19" s="8" t="s">
        <v>190</v>
      </c>
      <c r="I19" s="9">
        <v>1.7</v>
      </c>
      <c r="J19" s="9">
        <v>1</v>
      </c>
      <c r="K19" s="10" t="s">
        <v>180</v>
      </c>
      <c r="L19" s="8">
        <v>4</v>
      </c>
      <c r="M19" s="8">
        <f t="shared" si="3"/>
        <v>6.8</v>
      </c>
    </row>
    <row r="20" spans="1:13" x14ac:dyDescent="0.25">
      <c r="A20" s="6" t="s">
        <v>280</v>
      </c>
      <c r="B20" s="11">
        <v>0.9</v>
      </c>
      <c r="C20" s="11">
        <v>2.1</v>
      </c>
      <c r="D20" t="s">
        <v>281</v>
      </c>
      <c r="E20" s="6">
        <v>6</v>
      </c>
      <c r="F20" s="6">
        <f t="shared" si="2"/>
        <v>11.34</v>
      </c>
      <c r="H20" s="6" t="s">
        <v>191</v>
      </c>
      <c r="I20" s="11">
        <v>1</v>
      </c>
      <c r="J20" s="11">
        <v>1</v>
      </c>
      <c r="K20" t="s">
        <v>180</v>
      </c>
      <c r="L20" s="6">
        <v>2</v>
      </c>
      <c r="M20" s="6">
        <f t="shared" si="3"/>
        <v>2</v>
      </c>
    </row>
    <row r="21" spans="1:13" x14ac:dyDescent="0.25">
      <c r="A21" s="8" t="s">
        <v>282</v>
      </c>
      <c r="B21" s="9">
        <v>0.6</v>
      </c>
      <c r="C21" s="9">
        <v>2.1</v>
      </c>
      <c r="D21" s="10" t="s">
        <v>281</v>
      </c>
      <c r="E21" s="8">
        <v>17</v>
      </c>
      <c r="F21" s="8">
        <f t="shared" si="2"/>
        <v>21.42</v>
      </c>
      <c r="H21" s="8" t="s">
        <v>283</v>
      </c>
      <c r="I21" s="9">
        <v>2</v>
      </c>
      <c r="J21" s="9">
        <v>1</v>
      </c>
      <c r="K21" s="10" t="s">
        <v>180</v>
      </c>
      <c r="L21" s="8">
        <v>1</v>
      </c>
      <c r="M21" s="8">
        <f t="shared" si="3"/>
        <v>2</v>
      </c>
    </row>
    <row r="22" spans="1:13" x14ac:dyDescent="0.25">
      <c r="A22" s="6" t="s">
        <v>284</v>
      </c>
      <c r="B22" s="11">
        <v>1.4</v>
      </c>
      <c r="C22" s="11">
        <v>2.1</v>
      </c>
      <c r="D22" t="s">
        <v>171</v>
      </c>
      <c r="E22" s="6">
        <v>2</v>
      </c>
      <c r="F22" s="6">
        <f t="shared" si="2"/>
        <v>5.88</v>
      </c>
      <c r="H22" s="18" t="s">
        <v>192</v>
      </c>
      <c r="I22" s="18"/>
      <c r="J22" s="18"/>
      <c r="K22" s="18"/>
      <c r="L22" s="18"/>
      <c r="M22" s="18"/>
    </row>
    <row r="23" spans="1:13" x14ac:dyDescent="0.25">
      <c r="A23" s="18" t="s">
        <v>167</v>
      </c>
      <c r="B23" s="18"/>
      <c r="C23" s="18"/>
      <c r="D23" s="18"/>
      <c r="E23" s="18"/>
      <c r="F23" s="18"/>
      <c r="H23" s="7" t="s">
        <v>150</v>
      </c>
      <c r="I23" s="7" t="s">
        <v>151</v>
      </c>
      <c r="J23" s="7" t="s">
        <v>152</v>
      </c>
      <c r="K23" s="7" t="s">
        <v>153</v>
      </c>
      <c r="L23" s="7" t="s">
        <v>154</v>
      </c>
      <c r="M23" s="7" t="s">
        <v>267</v>
      </c>
    </row>
    <row r="24" spans="1:13" x14ac:dyDescent="0.25">
      <c r="A24" s="7" t="s">
        <v>150</v>
      </c>
      <c r="B24" s="7" t="s">
        <v>151</v>
      </c>
      <c r="C24" s="7" t="s">
        <v>152</v>
      </c>
      <c r="D24" s="7" t="s">
        <v>153</v>
      </c>
      <c r="E24" s="7" t="s">
        <v>154</v>
      </c>
      <c r="F24" s="7" t="s">
        <v>267</v>
      </c>
      <c r="H24" s="8" t="s">
        <v>193</v>
      </c>
      <c r="I24" s="9">
        <v>1.5</v>
      </c>
      <c r="J24" s="9">
        <v>1.1000000000000001</v>
      </c>
      <c r="K24" s="10" t="s">
        <v>174</v>
      </c>
      <c r="L24" s="8">
        <v>107</v>
      </c>
      <c r="M24" s="8">
        <f>(I24*J24)*L24</f>
        <v>176.55</v>
      </c>
    </row>
    <row r="25" spans="1:13" x14ac:dyDescent="0.25">
      <c r="A25" s="6" t="s">
        <v>168</v>
      </c>
      <c r="B25" s="11">
        <v>3.5</v>
      </c>
      <c r="C25" s="11">
        <v>2.5</v>
      </c>
      <c r="D25" t="s">
        <v>170</v>
      </c>
      <c r="E25" s="6">
        <v>1</v>
      </c>
      <c r="F25" s="6">
        <f>(B25*C25)*E25</f>
        <v>8.75</v>
      </c>
      <c r="H25" s="12" t="s">
        <v>194</v>
      </c>
      <c r="I25" s="13">
        <v>1.2</v>
      </c>
      <c r="J25" s="13">
        <v>1.1000000000000001</v>
      </c>
      <c r="K25" s="14" t="s">
        <v>174</v>
      </c>
      <c r="L25" s="12">
        <v>15</v>
      </c>
      <c r="M25" s="6">
        <f>(I25*J25)*L25</f>
        <v>19.8</v>
      </c>
    </row>
    <row r="26" spans="1:13" x14ac:dyDescent="0.25">
      <c r="A26" s="8" t="s">
        <v>169</v>
      </c>
      <c r="B26" s="9">
        <v>1.2</v>
      </c>
      <c r="C26" s="9">
        <v>2.1</v>
      </c>
      <c r="D26" s="10" t="s">
        <v>171</v>
      </c>
      <c r="E26" s="8">
        <v>2</v>
      </c>
      <c r="F26" s="8">
        <f>(B26*C26)*E26</f>
        <v>5.04</v>
      </c>
      <c r="H26" s="8" t="s">
        <v>195</v>
      </c>
      <c r="I26" s="9">
        <v>1.2</v>
      </c>
      <c r="J26" s="9">
        <v>0.6</v>
      </c>
      <c r="K26" s="10" t="s">
        <v>176</v>
      </c>
      <c r="L26" s="8">
        <v>10</v>
      </c>
      <c r="M26" s="8">
        <f>(I26*J26)*L26</f>
        <v>7.1999999999999993</v>
      </c>
    </row>
    <row r="27" spans="1:13" x14ac:dyDescent="0.25">
      <c r="H27" s="6" t="s">
        <v>196</v>
      </c>
      <c r="I27" s="11">
        <v>0.6</v>
      </c>
      <c r="J27" s="11">
        <v>0.6</v>
      </c>
      <c r="K27" t="s">
        <v>176</v>
      </c>
      <c r="L27" s="6">
        <v>6</v>
      </c>
      <c r="M27" s="6">
        <f>(I27*J27)*L27</f>
        <v>2.16</v>
      </c>
    </row>
  </sheetData>
  <mergeCells count="8">
    <mergeCell ref="H22:M22"/>
    <mergeCell ref="A23:F23"/>
    <mergeCell ref="A1:F1"/>
    <mergeCell ref="H1:M1"/>
    <mergeCell ref="A2:F2"/>
    <mergeCell ref="H2:M2"/>
    <mergeCell ref="A13:E13"/>
    <mergeCell ref="H13:M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view="pageBreakPreview" topLeftCell="A21" zoomScale="60" zoomScaleNormal="100" workbookViewId="0">
      <selection activeCell="D23" sqref="D23"/>
    </sheetView>
  </sheetViews>
  <sheetFormatPr defaultRowHeight="15" x14ac:dyDescent="0.25"/>
  <cols>
    <col min="2" max="3" width="55.42578125" customWidth="1"/>
    <col min="4" max="4" width="33.85546875" customWidth="1"/>
    <col min="5" max="5" width="23.42578125" customWidth="1"/>
  </cols>
  <sheetData>
    <row r="1" spans="1:5" x14ac:dyDescent="0.25">
      <c r="A1" s="20" t="s">
        <v>207</v>
      </c>
      <c r="B1" s="20"/>
      <c r="C1" s="20"/>
      <c r="D1" s="20"/>
      <c r="E1" s="20"/>
    </row>
    <row r="2" spans="1:5" x14ac:dyDescent="0.25">
      <c r="A2" t="s">
        <v>208</v>
      </c>
      <c r="B2" t="s">
        <v>209</v>
      </c>
      <c r="C2" t="s">
        <v>210</v>
      </c>
      <c r="D2" t="s">
        <v>264</v>
      </c>
      <c r="E2" t="s">
        <v>265</v>
      </c>
    </row>
    <row r="3" spans="1:5" x14ac:dyDescent="0.25">
      <c r="A3">
        <v>1</v>
      </c>
      <c r="B3" t="s">
        <v>211</v>
      </c>
      <c r="C3" t="s">
        <v>212</v>
      </c>
      <c r="D3">
        <f>(0.075*0.075)*4</f>
        <v>2.2499999999999999E-2</v>
      </c>
      <c r="E3">
        <f>D3*A3</f>
        <v>2.2499999999999999E-2</v>
      </c>
    </row>
    <row r="4" spans="1:5" x14ac:dyDescent="0.25">
      <c r="A4">
        <v>1</v>
      </c>
      <c r="B4" t="s">
        <v>213</v>
      </c>
      <c r="C4" t="s">
        <v>214</v>
      </c>
      <c r="D4">
        <f>(0.075*0.11)*4</f>
        <v>3.3000000000000002E-2</v>
      </c>
      <c r="E4">
        <f t="shared" ref="E4:E53" si="0">D4*A4</f>
        <v>3.3000000000000002E-2</v>
      </c>
    </row>
    <row r="5" spans="1:5" x14ac:dyDescent="0.25">
      <c r="A5">
        <v>1</v>
      </c>
      <c r="B5" t="s">
        <v>213</v>
      </c>
      <c r="C5" t="s">
        <v>215</v>
      </c>
      <c r="D5">
        <f>(0.075*0.075)*4</f>
        <v>2.2499999999999999E-2</v>
      </c>
      <c r="E5">
        <f t="shared" si="0"/>
        <v>2.2499999999999999E-2</v>
      </c>
    </row>
    <row r="6" spans="1:5" x14ac:dyDescent="0.25">
      <c r="A6">
        <v>1</v>
      </c>
      <c r="B6" t="s">
        <v>211</v>
      </c>
      <c r="C6" t="s">
        <v>216</v>
      </c>
      <c r="D6">
        <f>(0.11*0.11)*4</f>
        <v>4.8399999999999999E-2</v>
      </c>
      <c r="E6">
        <f t="shared" si="0"/>
        <v>4.8399999999999999E-2</v>
      </c>
    </row>
    <row r="7" spans="1:5" x14ac:dyDescent="0.25">
      <c r="A7">
        <v>1</v>
      </c>
      <c r="B7" t="s">
        <v>211</v>
      </c>
      <c r="C7" t="s">
        <v>217</v>
      </c>
      <c r="D7">
        <f>(0.11*0.11)*4</f>
        <v>4.8399999999999999E-2</v>
      </c>
      <c r="E7">
        <f t="shared" si="0"/>
        <v>4.8399999999999999E-2</v>
      </c>
    </row>
    <row r="8" spans="1:5" x14ac:dyDescent="0.25">
      <c r="A8">
        <v>1</v>
      </c>
      <c r="B8" t="s">
        <v>211</v>
      </c>
      <c r="C8" t="s">
        <v>218</v>
      </c>
      <c r="D8">
        <f>((0.11*0.11)*2)+(0.11*0.075)*2</f>
        <v>4.07E-2</v>
      </c>
      <c r="E8">
        <f t="shared" si="0"/>
        <v>4.07E-2</v>
      </c>
    </row>
    <row r="9" spans="1:5" x14ac:dyDescent="0.25">
      <c r="A9">
        <v>1</v>
      </c>
      <c r="B9" t="s">
        <v>213</v>
      </c>
      <c r="C9" t="s">
        <v>219</v>
      </c>
      <c r="D9">
        <f>((0.11*0.11)*2)+(0.11*0.011)*2</f>
        <v>2.6619999999999998E-2</v>
      </c>
      <c r="E9">
        <f t="shared" si="0"/>
        <v>2.6619999999999998E-2</v>
      </c>
    </row>
    <row r="10" spans="1:5" x14ac:dyDescent="0.25">
      <c r="A10">
        <v>1</v>
      </c>
      <c r="B10" t="s">
        <v>213</v>
      </c>
      <c r="C10" t="s">
        <v>220</v>
      </c>
      <c r="D10">
        <f>(0.11*0.2)*4</f>
        <v>8.8000000000000009E-2</v>
      </c>
      <c r="E10">
        <f t="shared" si="0"/>
        <v>8.8000000000000009E-2</v>
      </c>
    </row>
    <row r="11" spans="1:5" x14ac:dyDescent="0.25">
      <c r="A11">
        <v>1</v>
      </c>
      <c r="B11" t="s">
        <v>211</v>
      </c>
      <c r="C11" t="s">
        <v>221</v>
      </c>
      <c r="D11">
        <f>((0.11*0.11)*2)+(0.125*0.0125)*2</f>
        <v>2.7324999999999999E-2</v>
      </c>
      <c r="E11">
        <f t="shared" si="0"/>
        <v>2.7324999999999999E-2</v>
      </c>
    </row>
    <row r="12" spans="1:5" x14ac:dyDescent="0.25">
      <c r="A12">
        <v>2</v>
      </c>
      <c r="B12" t="s">
        <v>213</v>
      </c>
      <c r="C12" t="s">
        <v>222</v>
      </c>
      <c r="D12">
        <f>((0.11*0.11)*2)+(0.125*0.0125)*2</f>
        <v>2.7324999999999999E-2</v>
      </c>
      <c r="E12">
        <f t="shared" si="0"/>
        <v>5.4649999999999997E-2</v>
      </c>
    </row>
    <row r="13" spans="1:5" x14ac:dyDescent="0.25">
      <c r="A13">
        <v>1</v>
      </c>
      <c r="B13" t="s">
        <v>211</v>
      </c>
      <c r="C13" t="s">
        <v>223</v>
      </c>
      <c r="D13">
        <f>((0.11*0.11)*2)+(0.125*0.0125)*2</f>
        <v>2.7324999999999999E-2</v>
      </c>
      <c r="E13">
        <f t="shared" si="0"/>
        <v>2.7324999999999999E-2</v>
      </c>
    </row>
    <row r="14" spans="1:5" x14ac:dyDescent="0.25">
      <c r="A14">
        <v>1</v>
      </c>
      <c r="B14" t="s">
        <v>211</v>
      </c>
      <c r="C14" t="s">
        <v>224</v>
      </c>
      <c r="D14">
        <f>(0.14*0.14)*4</f>
        <v>7.8400000000000011E-2</v>
      </c>
      <c r="E14">
        <f t="shared" si="0"/>
        <v>7.8400000000000011E-2</v>
      </c>
    </row>
    <row r="15" spans="1:5" x14ac:dyDescent="0.25">
      <c r="A15">
        <v>1</v>
      </c>
      <c r="B15" t="s">
        <v>213</v>
      </c>
      <c r="C15" t="s">
        <v>225</v>
      </c>
      <c r="D15">
        <f>(0.14*0.14)*4</f>
        <v>7.8400000000000011E-2</v>
      </c>
      <c r="E15">
        <f t="shared" si="0"/>
        <v>7.8400000000000011E-2</v>
      </c>
    </row>
    <row r="16" spans="1:5" x14ac:dyDescent="0.25">
      <c r="A16">
        <v>1</v>
      </c>
      <c r="B16" t="s">
        <v>213</v>
      </c>
      <c r="C16" t="s">
        <v>226</v>
      </c>
      <c r="D16">
        <f>(0.14*0.175)*4</f>
        <v>9.8000000000000004E-2</v>
      </c>
      <c r="E16">
        <f t="shared" si="0"/>
        <v>9.8000000000000004E-2</v>
      </c>
    </row>
    <row r="17" spans="1:5" x14ac:dyDescent="0.25">
      <c r="A17">
        <v>1</v>
      </c>
      <c r="B17" t="s">
        <v>213</v>
      </c>
      <c r="C17" t="s">
        <v>227</v>
      </c>
      <c r="D17">
        <f>(0.14*0.225)*4</f>
        <v>0.12600000000000003</v>
      </c>
      <c r="E17">
        <f t="shared" si="0"/>
        <v>0.12600000000000003</v>
      </c>
    </row>
    <row r="18" spans="1:5" x14ac:dyDescent="0.25">
      <c r="A18">
        <v>1</v>
      </c>
      <c r="B18" t="s">
        <v>213</v>
      </c>
      <c r="C18" t="s">
        <v>228</v>
      </c>
      <c r="D18">
        <f>(0.14*0.25)*4</f>
        <v>0.14000000000000001</v>
      </c>
      <c r="E18">
        <f t="shared" si="0"/>
        <v>0.14000000000000001</v>
      </c>
    </row>
    <row r="19" spans="1:5" x14ac:dyDescent="0.25">
      <c r="A19">
        <v>2</v>
      </c>
      <c r="B19" t="s">
        <v>213</v>
      </c>
      <c r="C19" t="s">
        <v>229</v>
      </c>
      <c r="D19">
        <f>(0.15*0.15)*4</f>
        <v>0.09</v>
      </c>
      <c r="E19">
        <f t="shared" si="0"/>
        <v>0.18</v>
      </c>
    </row>
    <row r="20" spans="1:5" x14ac:dyDescent="0.25">
      <c r="A20">
        <v>1</v>
      </c>
      <c r="B20" t="s">
        <v>211</v>
      </c>
      <c r="C20" t="s">
        <v>230</v>
      </c>
      <c r="D20">
        <f>(0.15*0.3)*4</f>
        <v>0.18</v>
      </c>
      <c r="E20">
        <f t="shared" si="0"/>
        <v>0.18</v>
      </c>
    </row>
    <row r="21" spans="1:5" x14ac:dyDescent="0.25">
      <c r="A21">
        <v>1</v>
      </c>
      <c r="B21" t="s">
        <v>211</v>
      </c>
      <c r="C21" t="s">
        <v>231</v>
      </c>
      <c r="D21">
        <f>(0.175*0.175)*4</f>
        <v>0.12249999999999998</v>
      </c>
      <c r="E21">
        <f t="shared" si="0"/>
        <v>0.12249999999999998</v>
      </c>
    </row>
    <row r="22" spans="1:5" x14ac:dyDescent="0.25">
      <c r="A22">
        <v>1</v>
      </c>
      <c r="B22" t="s">
        <v>211</v>
      </c>
      <c r="C22" t="s">
        <v>232</v>
      </c>
      <c r="D22">
        <f>(0.175*0.175)*4</f>
        <v>0.12249999999999998</v>
      </c>
      <c r="E22">
        <f t="shared" si="0"/>
        <v>0.12249999999999998</v>
      </c>
    </row>
    <row r="23" spans="1:5" x14ac:dyDescent="0.25">
      <c r="A23">
        <v>2</v>
      </c>
      <c r="B23" t="s">
        <v>213</v>
      </c>
      <c r="C23" t="s">
        <v>233</v>
      </c>
      <c r="D23">
        <f>((0.2*0.2)*2)+((0.09*0.09)*2)</f>
        <v>9.6200000000000008E-2</v>
      </c>
      <c r="E23">
        <f t="shared" si="0"/>
        <v>0.19240000000000002</v>
      </c>
    </row>
    <row r="24" spans="1:5" x14ac:dyDescent="0.25">
      <c r="A24">
        <v>1</v>
      </c>
      <c r="B24" t="s">
        <v>211</v>
      </c>
      <c r="C24" t="s">
        <v>234</v>
      </c>
      <c r="D24">
        <f>((0.2*0.2)*2)+((0.1*0.1)*2)</f>
        <v>0.10000000000000002</v>
      </c>
      <c r="E24">
        <f t="shared" si="0"/>
        <v>0.10000000000000002</v>
      </c>
    </row>
    <row r="25" spans="1:5" x14ac:dyDescent="0.25">
      <c r="A25">
        <v>2</v>
      </c>
      <c r="B25" t="s">
        <v>213</v>
      </c>
      <c r="C25" t="s">
        <v>235</v>
      </c>
      <c r="D25">
        <f>((0.2*0.2)*2)+((0.1*0.1)*2)</f>
        <v>0.10000000000000002</v>
      </c>
      <c r="E25">
        <f t="shared" si="0"/>
        <v>0.20000000000000004</v>
      </c>
    </row>
    <row r="26" spans="1:5" x14ac:dyDescent="0.25">
      <c r="A26">
        <v>1</v>
      </c>
      <c r="B26" t="s">
        <v>211</v>
      </c>
      <c r="C26" t="s">
        <v>236</v>
      </c>
      <c r="D26">
        <f>((0.2*0.2)*2)+((0.125*0.125*2))</f>
        <v>0.11125000000000002</v>
      </c>
      <c r="E26">
        <f t="shared" si="0"/>
        <v>0.11125000000000002</v>
      </c>
    </row>
    <row r="27" spans="1:5" x14ac:dyDescent="0.25">
      <c r="A27">
        <v>1</v>
      </c>
      <c r="B27" t="s">
        <v>211</v>
      </c>
      <c r="C27" t="s">
        <v>237</v>
      </c>
      <c r="D27">
        <f>((0.2*0.2)*2)+((0.125*0.2*2))</f>
        <v>0.13</v>
      </c>
      <c r="E27">
        <f t="shared" si="0"/>
        <v>0.13</v>
      </c>
    </row>
    <row r="28" spans="1:5" x14ac:dyDescent="0.25">
      <c r="A28">
        <v>1</v>
      </c>
      <c r="B28" t="s">
        <v>211</v>
      </c>
      <c r="C28" t="s">
        <v>238</v>
      </c>
      <c r="D28">
        <f>((0.2*0.2)*2)+((0.125*0.2*2))</f>
        <v>0.13</v>
      </c>
      <c r="E28">
        <f t="shared" si="0"/>
        <v>0.13</v>
      </c>
    </row>
    <row r="29" spans="1:5" x14ac:dyDescent="0.25">
      <c r="A29">
        <v>2</v>
      </c>
      <c r="B29" t="s">
        <v>213</v>
      </c>
      <c r="C29" t="s">
        <v>239</v>
      </c>
      <c r="D29">
        <f>((0.2*0.2)*2)+((0.125*0.2*2))</f>
        <v>0.13</v>
      </c>
      <c r="E29">
        <f t="shared" si="0"/>
        <v>0.26</v>
      </c>
    </row>
    <row r="30" spans="1:5" x14ac:dyDescent="0.25">
      <c r="A30">
        <v>1</v>
      </c>
      <c r="B30" t="s">
        <v>211</v>
      </c>
      <c r="C30" t="s">
        <v>240</v>
      </c>
      <c r="D30">
        <f>((0.2*0.2)*2)+((0.14*0.14*2))</f>
        <v>0.11920000000000003</v>
      </c>
      <c r="E30">
        <f t="shared" si="0"/>
        <v>0.11920000000000003</v>
      </c>
    </row>
    <row r="31" spans="1:5" x14ac:dyDescent="0.25">
      <c r="A31">
        <v>1</v>
      </c>
      <c r="B31" t="s">
        <v>211</v>
      </c>
      <c r="C31" t="s">
        <v>241</v>
      </c>
      <c r="D31">
        <f>((0.2*0.2)*2)+((0.15*0.15*2))</f>
        <v>0.125</v>
      </c>
      <c r="E31">
        <f t="shared" si="0"/>
        <v>0.125</v>
      </c>
    </row>
    <row r="32" spans="1:5" x14ac:dyDescent="0.25">
      <c r="A32">
        <v>8</v>
      </c>
      <c r="B32" t="s">
        <v>213</v>
      </c>
      <c r="C32" t="s">
        <v>242</v>
      </c>
      <c r="D32">
        <f>((0.2*0.2)*2)+((0.15*0.15*2))</f>
        <v>0.125</v>
      </c>
      <c r="E32">
        <f t="shared" si="0"/>
        <v>1</v>
      </c>
    </row>
    <row r="33" spans="1:5" x14ac:dyDescent="0.25">
      <c r="A33">
        <v>3</v>
      </c>
      <c r="B33" t="s">
        <v>211</v>
      </c>
      <c r="C33" t="s">
        <v>243</v>
      </c>
      <c r="D33">
        <f>(0.2*0.2)*4</f>
        <v>0.16000000000000003</v>
      </c>
      <c r="E33">
        <f t="shared" si="0"/>
        <v>0.48000000000000009</v>
      </c>
    </row>
    <row r="34" spans="1:5" x14ac:dyDescent="0.25">
      <c r="A34">
        <v>1</v>
      </c>
      <c r="B34" t="s">
        <v>211</v>
      </c>
      <c r="C34" t="s">
        <v>244</v>
      </c>
      <c r="D34">
        <f>((0.2*0.2)*2)+((0.1*0.2*2))</f>
        <v>0.12000000000000002</v>
      </c>
      <c r="E34">
        <f t="shared" si="0"/>
        <v>0.12000000000000002</v>
      </c>
    </row>
    <row r="35" spans="1:5" x14ac:dyDescent="0.25">
      <c r="A35">
        <v>16</v>
      </c>
      <c r="B35" t="s">
        <v>211</v>
      </c>
      <c r="C35" t="s">
        <v>245</v>
      </c>
      <c r="D35">
        <f>(0.2*0.2)*4</f>
        <v>0.16000000000000003</v>
      </c>
      <c r="E35">
        <f t="shared" si="0"/>
        <v>2.5600000000000005</v>
      </c>
    </row>
    <row r="36" spans="1:5" x14ac:dyDescent="0.25">
      <c r="A36">
        <v>49</v>
      </c>
      <c r="B36" t="s">
        <v>213</v>
      </c>
      <c r="C36" t="s">
        <v>246</v>
      </c>
      <c r="D36">
        <f>(0.2*0.2)*4</f>
        <v>0.16000000000000003</v>
      </c>
      <c r="E36">
        <f t="shared" si="0"/>
        <v>7.8400000000000016</v>
      </c>
    </row>
    <row r="37" spans="1:5" x14ac:dyDescent="0.25">
      <c r="A37">
        <v>5</v>
      </c>
      <c r="B37" t="s">
        <v>213</v>
      </c>
      <c r="C37" t="s">
        <v>247</v>
      </c>
      <c r="D37">
        <f>(0.2*0.3)*4</f>
        <v>0.24</v>
      </c>
      <c r="E37">
        <f t="shared" si="0"/>
        <v>1.2</v>
      </c>
    </row>
    <row r="38" spans="1:5" x14ac:dyDescent="0.25">
      <c r="A38">
        <v>1</v>
      </c>
      <c r="B38" t="s">
        <v>211</v>
      </c>
      <c r="C38" t="s">
        <v>248</v>
      </c>
      <c r="D38">
        <f>((0.225*0.225)*2)+((0.175*0.175*2))</f>
        <v>0.16250000000000001</v>
      </c>
      <c r="E38">
        <f t="shared" si="0"/>
        <v>0.16250000000000001</v>
      </c>
    </row>
    <row r="39" spans="1:5" x14ac:dyDescent="0.25">
      <c r="A39">
        <v>1</v>
      </c>
      <c r="B39" t="s">
        <v>211</v>
      </c>
      <c r="C39" t="s">
        <v>249</v>
      </c>
      <c r="D39">
        <f>((0.225*0.225)*2)+((0.225*0.14*2))</f>
        <v>0.16425000000000001</v>
      </c>
      <c r="E39">
        <f t="shared" si="0"/>
        <v>0.16425000000000001</v>
      </c>
    </row>
    <row r="40" spans="1:5" x14ac:dyDescent="0.25">
      <c r="A40">
        <v>1</v>
      </c>
      <c r="B40" t="s">
        <v>211</v>
      </c>
      <c r="C40" t="s">
        <v>250</v>
      </c>
      <c r="D40">
        <f>((0.225*0.225)*2)+((0.225*0.2*2))</f>
        <v>0.19125000000000003</v>
      </c>
      <c r="E40">
        <f t="shared" si="0"/>
        <v>0.19125000000000003</v>
      </c>
    </row>
    <row r="41" spans="1:5" x14ac:dyDescent="0.25">
      <c r="A41">
        <v>1</v>
      </c>
      <c r="B41" t="s">
        <v>211</v>
      </c>
      <c r="C41" t="s">
        <v>251</v>
      </c>
      <c r="D41">
        <f>((0.225*0.225)*2)+((0.14*0.25*2))</f>
        <v>0.17125000000000001</v>
      </c>
      <c r="E41">
        <f t="shared" si="0"/>
        <v>0.17125000000000001</v>
      </c>
    </row>
    <row r="42" spans="1:5" x14ac:dyDescent="0.25">
      <c r="A42">
        <v>1</v>
      </c>
      <c r="B42" t="s">
        <v>211</v>
      </c>
      <c r="C42" t="s">
        <v>252</v>
      </c>
      <c r="D42">
        <f>((0.25*0.325)*2)+((0.25*0.25*2))</f>
        <v>0.28749999999999998</v>
      </c>
      <c r="E42">
        <f t="shared" si="0"/>
        <v>0.28749999999999998</v>
      </c>
    </row>
    <row r="43" spans="1:5" x14ac:dyDescent="0.25">
      <c r="A43">
        <v>1</v>
      </c>
      <c r="B43" t="s">
        <v>211</v>
      </c>
      <c r="C43" t="s">
        <v>253</v>
      </c>
      <c r="D43">
        <f>((0.25*0.325)*2)+((0.25*0.25*25))</f>
        <v>1.7250000000000001</v>
      </c>
      <c r="E43">
        <f t="shared" si="0"/>
        <v>1.7250000000000001</v>
      </c>
    </row>
    <row r="44" spans="1:5" x14ac:dyDescent="0.25">
      <c r="A44">
        <v>1</v>
      </c>
      <c r="B44" t="s">
        <v>211</v>
      </c>
      <c r="C44" t="s">
        <v>254</v>
      </c>
      <c r="D44">
        <f>((0.25*0.325)*2)+((0.25*0.25*25))</f>
        <v>1.7250000000000001</v>
      </c>
      <c r="E44">
        <f t="shared" si="0"/>
        <v>1.7250000000000001</v>
      </c>
    </row>
    <row r="45" spans="1:5" x14ac:dyDescent="0.25">
      <c r="A45">
        <v>8</v>
      </c>
      <c r="B45" t="s">
        <v>211</v>
      </c>
      <c r="C45" t="s">
        <v>255</v>
      </c>
      <c r="D45">
        <f>((0.3*0.3)*2)+((0.2*0.2)*2)</f>
        <v>0.26</v>
      </c>
      <c r="E45">
        <f t="shared" si="0"/>
        <v>2.08</v>
      </c>
    </row>
    <row r="46" spans="1:5" x14ac:dyDescent="0.25">
      <c r="A46">
        <v>1</v>
      </c>
      <c r="B46" t="s">
        <v>211</v>
      </c>
      <c r="C46" t="s">
        <v>256</v>
      </c>
      <c r="D46">
        <f>((0.3*0.3)*2)+((0.3*0.2)*2)</f>
        <v>0.3</v>
      </c>
      <c r="E46">
        <f t="shared" si="0"/>
        <v>0.3</v>
      </c>
    </row>
    <row r="47" spans="1:5" x14ac:dyDescent="0.25">
      <c r="A47">
        <v>1</v>
      </c>
      <c r="B47" t="s">
        <v>211</v>
      </c>
      <c r="C47" t="s">
        <v>257</v>
      </c>
      <c r="D47">
        <f>((0.3*0.3)*2)+((0.15*0.3)*2)</f>
        <v>0.27</v>
      </c>
      <c r="E47">
        <f t="shared" si="0"/>
        <v>0.27</v>
      </c>
    </row>
    <row r="48" spans="1:5" x14ac:dyDescent="0.25">
      <c r="A48">
        <v>5</v>
      </c>
      <c r="B48" t="s">
        <v>211</v>
      </c>
      <c r="C48" t="s">
        <v>258</v>
      </c>
      <c r="D48">
        <f>((0.3*0.3)*2)+((0.2*0.3)*2)</f>
        <v>0.3</v>
      </c>
      <c r="E48">
        <f t="shared" si="0"/>
        <v>1.5</v>
      </c>
    </row>
    <row r="49" spans="1:5" x14ac:dyDescent="0.25">
      <c r="A49">
        <v>4</v>
      </c>
      <c r="B49" t="s">
        <v>211</v>
      </c>
      <c r="C49" t="s">
        <v>259</v>
      </c>
      <c r="D49">
        <f>((0.3*0.3)*2)+((0.3*0.3)*2)</f>
        <v>0.36</v>
      </c>
      <c r="E49">
        <f t="shared" si="0"/>
        <v>1.44</v>
      </c>
    </row>
    <row r="50" spans="1:5" x14ac:dyDescent="0.25">
      <c r="A50">
        <v>1</v>
      </c>
      <c r="B50" t="s">
        <v>211</v>
      </c>
      <c r="C50" t="s">
        <v>260</v>
      </c>
      <c r="D50">
        <f>((0.325*0.325)*2)+((0.25*0.325)*2)</f>
        <v>0.37375000000000003</v>
      </c>
      <c r="E50">
        <f t="shared" si="0"/>
        <v>0.37375000000000003</v>
      </c>
    </row>
    <row r="51" spans="1:5" x14ac:dyDescent="0.25">
      <c r="A51">
        <v>6</v>
      </c>
      <c r="B51" t="s">
        <v>213</v>
      </c>
      <c r="C51" t="s">
        <v>261</v>
      </c>
      <c r="D51">
        <f>((0.4*0.4)*2)+((0.4*0.1)*2)</f>
        <v>0.40000000000000008</v>
      </c>
      <c r="E51">
        <f t="shared" si="0"/>
        <v>2.4000000000000004</v>
      </c>
    </row>
    <row r="52" spans="1:5" x14ac:dyDescent="0.25">
      <c r="A52">
        <v>5</v>
      </c>
      <c r="B52" t="s">
        <v>213</v>
      </c>
      <c r="C52" t="s">
        <v>262</v>
      </c>
      <c r="D52">
        <f>((0.4*0.3)*2)+((0.4*0.3)*2)</f>
        <v>0.48</v>
      </c>
      <c r="E52">
        <f t="shared" si="0"/>
        <v>2.4</v>
      </c>
    </row>
    <row r="53" spans="1:5" x14ac:dyDescent="0.25">
      <c r="A53">
        <v>1</v>
      </c>
      <c r="B53" t="s">
        <v>213</v>
      </c>
      <c r="C53" t="s">
        <v>263</v>
      </c>
      <c r="D53">
        <f>((0.4*0.325)*2)+((0.4*0.325)*2)</f>
        <v>0.52</v>
      </c>
      <c r="E53">
        <f t="shared" si="0"/>
        <v>0.52</v>
      </c>
    </row>
    <row r="54" spans="1:5" x14ac:dyDescent="0.25">
      <c r="E54">
        <f>SUM(E3:E53)</f>
        <v>31.84357000000001</v>
      </c>
    </row>
  </sheetData>
  <mergeCells count="1">
    <mergeCell ref="A1:E1"/>
  </mergeCells>
  <pageMargins left="0.511811024" right="0.511811024" top="0.78740157499999996" bottom="0.78740157499999996" header="0.31496062000000002" footer="0.31496062000000002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DEMOLICOES</vt:lpstr>
      <vt:lpstr>TAPUMES </vt:lpstr>
      <vt:lpstr>PISOS E FORROS</vt:lpstr>
      <vt:lpstr>IMPERMEABILIZAÇÃO</vt:lpstr>
      <vt:lpstr>FECHAMENTOS</vt:lpstr>
      <vt:lpstr>PINTURA</vt:lpstr>
      <vt:lpstr>ESQUADRIAS</vt:lpstr>
      <vt:lpstr>CLIMATIZAÇÃO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Délcio Mueller</dc:creator>
  <cp:lastModifiedBy>Dayana Alvarenga De Souza</cp:lastModifiedBy>
  <cp:lastPrinted>2024-02-27T15:20:52Z</cp:lastPrinted>
  <dcterms:created xsi:type="dcterms:W3CDTF">2023-06-15T01:32:24Z</dcterms:created>
  <dcterms:modified xsi:type="dcterms:W3CDTF">2024-02-27T15:20:58Z</dcterms:modified>
</cp:coreProperties>
</file>